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AIRWOOD\AirWood Fiches d'aide à la saisie\"/>
    </mc:Choice>
  </mc:AlternateContent>
  <bookViews>
    <workbookView xWindow="-110" yWindow="0" windowWidth="2260" windowHeight="0"/>
  </bookViews>
  <sheets>
    <sheet name="TitreV Conduit Ech" sheetId="1" r:id="rId1"/>
    <sheet name="Synthèse Ratios" sheetId="3" r:id="rId2"/>
    <sheet name="Paramètres" sheetId="2" state="hidden" r:id="rId3"/>
  </sheets>
  <definedNames>
    <definedName name="_Hlk494891016" localSheetId="0">'Synthèse Ratios'!$B$2</definedName>
    <definedName name="_Hlk494891100" localSheetId="0">'TitreV Conduit Ech'!#REF!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C38" i="1" s="1"/>
  <c r="C40" i="1"/>
  <c r="C34" i="1"/>
  <c r="C28" i="1" l="1"/>
  <c r="C43" i="1"/>
  <c r="D31" i="1"/>
  <c r="C33" i="1"/>
  <c r="L42" i="1"/>
  <c r="K40" i="1" l="1"/>
  <c r="D30" i="1" l="1"/>
  <c r="D29" i="1"/>
  <c r="D25" i="1"/>
  <c r="D11" i="1" l="1"/>
  <c r="J12" i="1"/>
  <c r="J11" i="1"/>
  <c r="D24" i="1"/>
  <c r="D14" i="1"/>
  <c r="D16" i="1"/>
  <c r="D15" i="1"/>
  <c r="K42" i="1" l="1"/>
  <c r="M42" i="1" s="1"/>
  <c r="N11" i="1"/>
  <c r="J12" i="3"/>
  <c r="E12" i="3"/>
  <c r="I45" i="1" l="1"/>
  <c r="H25" i="1"/>
  <c r="H37" i="1" l="1"/>
  <c r="H29" i="1"/>
  <c r="H33" i="1"/>
  <c r="H28" i="1"/>
  <c r="H21" i="1"/>
  <c r="I16" i="1" s="1"/>
  <c r="J16" i="1" s="1"/>
  <c r="H42" i="1" s="1"/>
  <c r="N42" i="1" l="1"/>
  <c r="N44" i="1"/>
  <c r="M47" i="1" s="1"/>
  <c r="J8" i="3"/>
  <c r="G28" i="1"/>
  <c r="H32" i="1"/>
  <c r="G32" i="1" s="1"/>
  <c r="C21" i="2" l="1"/>
  <c r="H24" i="1" l="1"/>
  <c r="K12" i="3"/>
  <c r="C12" i="3"/>
  <c r="E8" i="3"/>
  <c r="H41" i="1" l="1"/>
  <c r="G24" i="1"/>
  <c r="C46" i="1" l="1"/>
  <c r="I41" i="1"/>
  <c r="C28" i="2"/>
  <c r="I28" i="2" s="1"/>
  <c r="H36" i="1"/>
  <c r="G36" i="1" s="1"/>
  <c r="H20" i="1"/>
  <c r="G20" i="1" l="1"/>
  <c r="I14" i="1"/>
  <c r="I15" i="1"/>
  <c r="J15" i="1" s="1"/>
  <c r="C8" i="3"/>
  <c r="H8" i="3"/>
  <c r="D8" i="3"/>
  <c r="F8" i="3"/>
  <c r="K8" i="3"/>
  <c r="J3" i="3" s="1"/>
  <c r="I8" i="3"/>
  <c r="G8" i="3"/>
  <c r="C48" i="1"/>
  <c r="C44" i="1"/>
  <c r="K14" i="1" l="1"/>
  <c r="J14" i="1"/>
  <c r="F3" i="3"/>
  <c r="C3" i="3"/>
  <c r="B3" i="3"/>
  <c r="G11" i="3"/>
  <c r="I11" i="3"/>
  <c r="K10" i="3"/>
  <c r="C45" i="1"/>
  <c r="H45" i="1" s="1"/>
  <c r="H47" i="1" s="1"/>
  <c r="K15" i="1" l="1"/>
  <c r="E10" i="3"/>
  <c r="J10" i="3"/>
  <c r="G10" i="3"/>
  <c r="I10" i="3"/>
  <c r="C10" i="3"/>
  <c r="H10" i="3"/>
  <c r="F10" i="3"/>
  <c r="D10" i="3"/>
  <c r="C47" i="1" l="1"/>
  <c r="H46" i="1"/>
  <c r="M15" i="1" l="1"/>
  <c r="M16" i="1" s="1"/>
  <c r="D11" i="3"/>
  <c r="H11" i="3" l="1"/>
  <c r="D12" i="3"/>
  <c r="C5" i="3" l="1"/>
  <c r="D13" i="3"/>
  <c r="F13" i="3"/>
  <c r="F12" i="3" l="1"/>
  <c r="H12" i="3" s="1"/>
  <c r="G12" i="3"/>
  <c r="I12" i="3" s="1"/>
</calcChain>
</file>

<file path=xl/comments1.xml><?xml version="1.0" encoding="utf-8"?>
<comments xmlns="http://schemas.openxmlformats.org/spreadsheetml/2006/main">
  <authors>
    <author>PEIGNE Pierre</author>
  </authors>
  <commentList>
    <comment ref="M11" authorId="0" shapeId="0">
      <text>
        <r>
          <rPr>
            <sz val="9"/>
            <color indexed="81"/>
            <rFont val="Tahoma"/>
            <family val="2"/>
          </rPr>
          <t>Laisser vide dans le cas d'une étude détaillée avec calcul des déperditions par pièce</t>
        </r>
      </text>
    </comment>
    <comment ref="C31" authorId="0" shapeId="0">
      <text>
        <r>
          <rPr>
            <sz val="9"/>
            <color indexed="81"/>
            <rFont val="Tahoma"/>
            <family val="2"/>
          </rPr>
          <t>BOOSTY est inclus avec ALLIANCE</t>
        </r>
      </text>
    </comment>
    <comment ref="C38" authorId="0" shapeId="0">
      <text>
        <r>
          <rPr>
            <sz val="9"/>
            <color indexed="81"/>
            <rFont val="Tahoma"/>
            <family val="2"/>
          </rPr>
          <t>Valeur obtenue selon les tableaux de consommation du moteur R2E dans l'ATec CONFORT+</t>
        </r>
      </text>
    </comment>
    <comment ref="C39" authorId="0" shapeId="0">
      <text>
        <r>
          <rPr>
            <sz val="9"/>
            <color indexed="81"/>
            <rFont val="Tahoma"/>
            <family val="2"/>
          </rPr>
          <t>Valeur à renseigner selon la VMC-DF retenue (si besoin, en considérant un débit moyen de 40 à 60 m3/h par pièce distribuée)</t>
        </r>
      </text>
    </comment>
    <comment ref="C40" authorId="0" shapeId="0">
      <text>
        <r>
          <rPr>
            <sz val="9"/>
            <color indexed="81"/>
            <rFont val="Tahoma"/>
            <family val="2"/>
          </rPr>
          <t>Valeur obtenue selon la feuille de calcul TitreV R-SUN R-VOLT et d'après l'ATec SunWood</t>
        </r>
      </text>
    </comment>
  </commentList>
</comments>
</file>

<file path=xl/sharedStrings.xml><?xml version="1.0" encoding="utf-8"?>
<sst xmlns="http://schemas.openxmlformats.org/spreadsheetml/2006/main" count="226" uniqueCount="186">
  <si>
    <t>Cellier</t>
  </si>
  <si>
    <t>Référence de l'opération</t>
  </si>
  <si>
    <t>Zone climatique</t>
  </si>
  <si>
    <t>H2c</t>
  </si>
  <si>
    <t>Fabricant</t>
  </si>
  <si>
    <t>Modèle</t>
  </si>
  <si>
    <t>AIRWOOD</t>
  </si>
  <si>
    <t>Système retenu</t>
  </si>
  <si>
    <t>CONFORT+</t>
  </si>
  <si>
    <t>ALLIANCE</t>
  </si>
  <si>
    <t>SUNWOOD</t>
  </si>
  <si>
    <t>PROJET</t>
  </si>
  <si>
    <t>APPAREIL A BOIS</t>
  </si>
  <si>
    <t>Ech TI</t>
  </si>
  <si>
    <t>Ech IG</t>
  </si>
  <si>
    <t>Ech PGI</t>
  </si>
  <si>
    <t>Gamme du conduit échangeur</t>
  </si>
  <si>
    <t>Coefficient a</t>
  </si>
  <si>
    <t>Coefficient b</t>
  </si>
  <si>
    <t>a</t>
  </si>
  <si>
    <t>b</t>
  </si>
  <si>
    <t>Coeff a et b</t>
  </si>
  <si>
    <t>Puissance nominale appareil</t>
  </si>
  <si>
    <t>Données du projet</t>
  </si>
  <si>
    <t>LEGENDE</t>
  </si>
  <si>
    <t>NON</t>
  </si>
  <si>
    <t>…</t>
  </si>
  <si>
    <t>SdB</t>
  </si>
  <si>
    <t>Ch3</t>
  </si>
  <si>
    <t>Ch2</t>
  </si>
  <si>
    <t>Rat_t_Ech</t>
  </si>
  <si>
    <t>Conduit échangeur AIR-AIR</t>
  </si>
  <si>
    <t>We/m3/h</t>
  </si>
  <si>
    <t>Position potentiomètre</t>
  </si>
  <si>
    <t>débit fournit</t>
  </si>
  <si>
    <t>Pelec_R2E_max (W)</t>
  </si>
  <si>
    <t>Nb de bouche (à max 40 m3/h)</t>
  </si>
  <si>
    <t>m3/h</t>
  </si>
  <si>
    <t>Modul-R</t>
  </si>
  <si>
    <t>m3/h/chambre en moyenne des modes solaires et bois</t>
  </si>
  <si>
    <t>* voir fiche DoP de l'appareil bois</t>
  </si>
  <si>
    <t>Nb de bouche d'air chaud**</t>
  </si>
  <si>
    <t>** correspond au nombre de pièces distribuée en zone nuit</t>
  </si>
  <si>
    <t>A</t>
  </si>
  <si>
    <t>B</t>
  </si>
  <si>
    <t>D</t>
  </si>
  <si>
    <t>C</t>
  </si>
  <si>
    <t>Zones</t>
  </si>
  <si>
    <t>Partie jour</t>
  </si>
  <si>
    <r>
      <t>Surface S</t>
    </r>
    <r>
      <rPr>
        <vertAlign val="subscript"/>
        <sz val="10"/>
        <color theme="1"/>
        <rFont val="Arial"/>
        <family val="2"/>
      </rPr>
      <t>A</t>
    </r>
    <r>
      <rPr>
        <sz val="10"/>
        <color theme="1"/>
        <rFont val="Arial"/>
        <family val="2"/>
      </rPr>
      <t xml:space="preserve"> de la sous-partie A </t>
    </r>
  </si>
  <si>
    <r>
      <t>Surface S</t>
    </r>
    <r>
      <rPr>
        <vertAlign val="subscript"/>
        <sz val="10"/>
        <color theme="1"/>
        <rFont val="Arial"/>
        <family val="2"/>
      </rPr>
      <t>B</t>
    </r>
    <r>
      <rPr>
        <sz val="10"/>
        <color theme="1"/>
        <rFont val="Arial"/>
        <family val="2"/>
      </rPr>
      <t xml:space="preserve"> de la sous-partie B </t>
    </r>
  </si>
  <si>
    <r>
      <t>Surface S</t>
    </r>
    <r>
      <rPr>
        <vertAlign val="subscript"/>
        <sz val="10"/>
        <color theme="1"/>
        <rFont val="Arial"/>
        <family val="2"/>
      </rPr>
      <t>B</t>
    </r>
    <r>
      <rPr>
        <sz val="10"/>
        <color theme="1"/>
        <rFont val="Arial"/>
        <family val="2"/>
      </rPr>
      <t xml:space="preserve"> de la sous-partie B</t>
    </r>
  </si>
  <si>
    <r>
      <t>Surface S</t>
    </r>
    <r>
      <rPr>
        <vertAlign val="subscript"/>
        <sz val="10"/>
        <color theme="1"/>
        <rFont val="Arial"/>
        <family val="2"/>
      </rPr>
      <t>C</t>
    </r>
    <r>
      <rPr>
        <sz val="10"/>
        <color theme="1"/>
        <rFont val="Arial"/>
        <family val="2"/>
      </rPr>
      <t xml:space="preserve"> de la sous-partie C</t>
    </r>
  </si>
  <si>
    <t>Emetteur complémentaire 1</t>
  </si>
  <si>
    <t>Emetteur complémentaire 2</t>
  </si>
  <si>
    <t>Émetteur principal</t>
  </si>
  <si>
    <t>Emetteur complémentaire 3</t>
  </si>
  <si>
    <t xml:space="preserve">Surface réelle desservie 
par l’émetteur </t>
  </si>
  <si>
    <r>
      <t>S</t>
    </r>
    <r>
      <rPr>
        <vertAlign val="subscript"/>
        <sz val="10"/>
        <color theme="1"/>
        <rFont val="Arial"/>
        <family val="2"/>
      </rPr>
      <t>A</t>
    </r>
    <r>
      <rPr>
        <sz val="10"/>
        <color theme="1"/>
        <rFont val="Arial"/>
        <family val="2"/>
      </rPr>
      <t xml:space="preserve"> / S</t>
    </r>
    <r>
      <rPr>
        <vertAlign val="subscript"/>
        <sz val="10"/>
        <color theme="1"/>
        <rFont val="Arial"/>
        <family val="2"/>
      </rPr>
      <t>Hab</t>
    </r>
  </si>
  <si>
    <r>
      <t>S</t>
    </r>
    <r>
      <rPr>
        <vertAlign val="subscript"/>
        <sz val="10"/>
        <color theme="1"/>
        <rFont val="Arial"/>
        <family val="2"/>
      </rPr>
      <t>B</t>
    </r>
    <r>
      <rPr>
        <sz val="10"/>
        <color theme="1"/>
        <rFont val="Arial"/>
        <family val="2"/>
      </rPr>
      <t xml:space="preserve"> / S</t>
    </r>
    <r>
      <rPr>
        <vertAlign val="subscript"/>
        <sz val="10"/>
        <color theme="1"/>
        <rFont val="Arial"/>
        <family val="2"/>
      </rPr>
      <t>Hab</t>
    </r>
  </si>
  <si>
    <r>
      <t>S</t>
    </r>
    <r>
      <rPr>
        <vertAlign val="subscript"/>
        <sz val="10"/>
        <color theme="1"/>
        <rFont val="Arial"/>
        <family val="2"/>
      </rPr>
      <t>C</t>
    </r>
    <r>
      <rPr>
        <sz val="10"/>
        <color theme="1"/>
        <rFont val="Arial"/>
        <family val="2"/>
      </rPr>
      <t xml:space="preserve"> / S</t>
    </r>
    <r>
      <rPr>
        <vertAlign val="subscript"/>
        <sz val="10"/>
        <color theme="1"/>
        <rFont val="Arial"/>
        <family val="2"/>
      </rPr>
      <t>Hab</t>
    </r>
  </si>
  <si>
    <r>
      <t>S</t>
    </r>
    <r>
      <rPr>
        <vertAlign val="subscript"/>
        <sz val="10"/>
        <color theme="1"/>
        <rFont val="Arial"/>
        <family val="2"/>
      </rPr>
      <t>D</t>
    </r>
    <r>
      <rPr>
        <sz val="10"/>
        <color theme="1"/>
        <rFont val="Arial"/>
        <family val="2"/>
      </rPr>
      <t xml:space="preserve"> / S</t>
    </r>
    <r>
      <rPr>
        <vertAlign val="subscript"/>
        <sz val="10"/>
        <color theme="1"/>
        <rFont val="Arial"/>
        <family val="2"/>
      </rPr>
      <t>Hab</t>
    </r>
  </si>
  <si>
    <r>
      <t>Surface S</t>
    </r>
    <r>
      <rPr>
        <vertAlign val="subscript"/>
        <sz val="10"/>
        <color theme="1"/>
        <rFont val="Arial"/>
        <family val="2"/>
      </rPr>
      <t>D</t>
    </r>
    <r>
      <rPr>
        <sz val="10"/>
        <color theme="1"/>
        <rFont val="Arial"/>
        <family val="2"/>
      </rPr>
      <t xml:space="preserve"> de la 
sous-partie D</t>
    </r>
  </si>
  <si>
    <t>Rat_s (%)
Ratio spatial 
de surface desservie</t>
  </si>
  <si>
    <t>Valeur en m²</t>
  </si>
  <si>
    <t>SHab (m²)</t>
  </si>
  <si>
    <t>Paramètre Rat_s et Rat_t 
par zone et par émetteur</t>
  </si>
  <si>
    <t xml:space="preserve">Rat_t (%)
Ratio temporel 
de part des besoins couverts </t>
  </si>
  <si>
    <t>Feuille uniquement valable pour un appareil à bois REGULE</t>
  </si>
  <si>
    <t>Pelec_R2E (en W)</t>
  </si>
  <si>
    <t>Pmoy_Ech (en kW)</t>
  </si>
  <si>
    <t>Rat_s_Ech (en %)</t>
  </si>
  <si>
    <t>Rat_t_Ech (en %)</t>
  </si>
  <si>
    <t>Pelec_VMC-DF (en W)</t>
  </si>
  <si>
    <t>Pelec_Modul-R (en W)</t>
  </si>
  <si>
    <t>Pelec_aux_Ech (en W)</t>
  </si>
  <si>
    <t>Température nominale des fumées*</t>
  </si>
  <si>
    <r>
      <rPr>
        <sz val="11"/>
        <color theme="1"/>
        <rFont val="Calibri"/>
        <family val="2"/>
        <scheme val="minor"/>
      </rPr>
      <t>Surface Habitable :</t>
    </r>
    <r>
      <rPr>
        <b/>
        <sz val="11"/>
        <color theme="1"/>
        <rFont val="Calibri"/>
        <family val="2"/>
        <scheme val="minor"/>
      </rPr>
      <t xml:space="preserve"> SHab</t>
    </r>
  </si>
  <si>
    <t>H2b</t>
  </si>
  <si>
    <t>H1a</t>
  </si>
  <si>
    <t>H1b</t>
  </si>
  <si>
    <t>H1c</t>
  </si>
  <si>
    <t>H2a</t>
  </si>
  <si>
    <t>H2d</t>
  </si>
  <si>
    <t>H3</t>
  </si>
  <si>
    <t>Totales</t>
  </si>
  <si>
    <t>Ch1</t>
  </si>
  <si>
    <t>WC</t>
  </si>
  <si>
    <t>Entrée</t>
  </si>
  <si>
    <t>SURFACES (m²) et DEPERDITIONS (W)</t>
  </si>
  <si>
    <t>Rat_s</t>
  </si>
  <si>
    <t>Déperditions couvertes par le bois</t>
  </si>
  <si>
    <r>
      <rPr>
        <u/>
        <sz val="10"/>
        <color theme="1"/>
        <rFont val="Calibri"/>
        <family val="2"/>
        <scheme val="minor"/>
      </rPr>
      <t>Important</t>
    </r>
    <r>
      <rPr>
        <sz val="10"/>
        <color theme="1"/>
        <rFont val="Calibri"/>
        <family val="2"/>
        <scheme val="minor"/>
      </rPr>
      <t xml:space="preserve"> : Aucune bouche d'air chaud en pièce humide !</t>
    </r>
  </si>
  <si>
    <t xml:space="preserve">Déperditions totales : </t>
  </si>
  <si>
    <t>Surface Hors Œuvre Net : SHON_RT</t>
  </si>
  <si>
    <t>Régulé à bûches</t>
  </si>
  <si>
    <t>Régulé à granulés</t>
  </si>
  <si>
    <t>Régulé mixte</t>
  </si>
  <si>
    <t>Adresse</t>
  </si>
  <si>
    <t>Nb de pièces distribuées</t>
  </si>
  <si>
    <t>Total des déperditions de la zone distribuée (B+C)</t>
  </si>
  <si>
    <t>Partie complémentaire distribuée (A+B+C &gt; 100m²)</t>
  </si>
  <si>
    <r>
      <t xml:space="preserve">Feuille d'aide à la saisie </t>
    </r>
    <r>
      <rPr>
        <b/>
        <sz val="14"/>
        <color theme="1"/>
        <rFont val="Calibri"/>
        <family val="2"/>
        <scheme val="minor"/>
      </rPr>
      <t>AIRWOOD et TitreV conduit échangeur air-air</t>
    </r>
    <r>
      <rPr>
        <sz val="14"/>
        <color theme="1"/>
        <rFont val="Calibri"/>
        <family val="2"/>
        <scheme val="minor"/>
      </rPr>
      <t xml:space="preserve"> pour appareil indépendant de chauffage au bois</t>
    </r>
  </si>
  <si>
    <t>Partie nuit distribuée avec AIRWOOD et A+B &lt; 100m²</t>
  </si>
  <si>
    <t>Ratem_t base</t>
  </si>
  <si>
    <t>Ratem_t appoint</t>
  </si>
  <si>
    <t>H1 et H2</t>
  </si>
  <si>
    <t>Chauffage à émission composite</t>
  </si>
  <si>
    <t>BASE+APPOINT</t>
  </si>
  <si>
    <t>Puissance de base transférable / Puissance requise dans la zone</t>
  </si>
  <si>
    <t>Total B_bis : Partie complémentaire NON distribuée (A+B+B_bis &lt; 100m²)</t>
  </si>
  <si>
    <t>Total B : Partie complémentaire (nuit) distribuée avec A+B &lt; 100m²</t>
  </si>
  <si>
    <t>Total A : Partie principale (zone jour)</t>
  </si>
  <si>
    <t>Surface distribuée (m²)</t>
  </si>
  <si>
    <r>
      <t>Surface S</t>
    </r>
    <r>
      <rPr>
        <vertAlign val="subscript"/>
        <sz val="10"/>
        <color theme="1"/>
        <rFont val="Arial"/>
        <family val="2"/>
      </rPr>
      <t>B_bis</t>
    </r>
    <r>
      <rPr>
        <sz val="10"/>
        <color theme="1"/>
        <rFont val="Arial"/>
        <family val="2"/>
      </rPr>
      <t xml:space="preserve"> de la sous-partie B_bis </t>
    </r>
  </si>
  <si>
    <r>
      <t>S</t>
    </r>
    <r>
      <rPr>
        <vertAlign val="subscript"/>
        <sz val="10"/>
        <color theme="1"/>
        <rFont val="Arial"/>
        <family val="2"/>
      </rPr>
      <t>B_bis</t>
    </r>
    <r>
      <rPr>
        <sz val="10"/>
        <color theme="1"/>
        <rFont val="Arial"/>
        <family val="2"/>
      </rPr>
      <t xml:space="preserve"> / S</t>
    </r>
    <r>
      <rPr>
        <vertAlign val="subscript"/>
        <sz val="10"/>
        <color theme="1"/>
        <rFont val="Arial"/>
        <family val="2"/>
      </rPr>
      <t>Hab</t>
    </r>
  </si>
  <si>
    <t>Distribuée</t>
  </si>
  <si>
    <t>NON distribuée</t>
  </si>
  <si>
    <r>
      <t xml:space="preserve">Parties complémentaires distribuées par AIRWOOD
</t>
    </r>
    <r>
      <rPr>
        <b/>
        <sz val="10"/>
        <color theme="1"/>
        <rFont val="Arial"/>
        <family val="2"/>
      </rPr>
      <t>zones B et C</t>
    </r>
  </si>
  <si>
    <r>
      <t xml:space="preserve">Partie principale et parties complémentaires 
distribuées et NON distribuées dans la limite de 100 m²
</t>
    </r>
    <r>
      <rPr>
        <b/>
        <sz val="10"/>
        <color theme="1"/>
        <rFont val="Arial"/>
        <family val="2"/>
      </rPr>
      <t xml:space="preserve">zones A, B et B_bis &lt; 100 m² </t>
    </r>
  </si>
  <si>
    <r>
      <t>« </t>
    </r>
    <r>
      <rPr>
        <b/>
        <sz val="10"/>
        <color theme="5" tint="-0.249977111117893"/>
        <rFont val="Arial"/>
        <family val="2"/>
      </rPr>
      <t>Conduit Echangeur Poujoulat</t>
    </r>
    <r>
      <rPr>
        <sz val="10"/>
        <color theme="5" tint="-0.249977111117893"/>
        <rFont val="Arial"/>
        <family val="2"/>
      </rPr>
      <t xml:space="preserve"> » </t>
    </r>
  </si>
  <si>
    <r>
      <t>« Appoint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7" tint="-0.249977111117893"/>
        <rFont val="Arial"/>
        <family val="2"/>
      </rPr>
      <t>BOOSTY</t>
    </r>
    <r>
      <rPr>
        <sz val="10"/>
        <color theme="1"/>
        <rFont val="Arial"/>
        <family val="2"/>
      </rPr>
      <t> »</t>
    </r>
  </si>
  <si>
    <r>
      <t>« Appoint type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Effet Joule »
(par ex : sèche serviettes)</t>
    </r>
  </si>
  <si>
    <t>Max 4 bouches d'air chaud</t>
  </si>
  <si>
    <t>Max 4 bouches d'air chaud au TOTAL en zones B+C</t>
  </si>
  <si>
    <t>Total D : Partie SdB et autres pièces avec appoint dédié</t>
  </si>
  <si>
    <r>
      <t xml:space="preserve">Partie complémentaire NON distribuée 
et autres pièces avec appoint dédié (SdB)
</t>
    </r>
    <r>
      <rPr>
        <b/>
        <sz val="10"/>
        <color theme="1"/>
        <rFont val="Arial"/>
        <family val="2"/>
      </rPr>
      <t>zones B_bis et D</t>
    </r>
  </si>
  <si>
    <t>Perméabilité de l’habitation</t>
  </si>
  <si>
    <r>
      <t>Q</t>
    </r>
    <r>
      <rPr>
        <vertAlign val="subscript"/>
        <sz val="8"/>
        <color theme="1"/>
        <rFont val="Arial"/>
        <family val="2"/>
      </rPr>
      <t>4Pa / m² SHON RT</t>
    </r>
  </si>
  <si>
    <t>Ancien</t>
  </si>
  <si>
    <t>Perméabilité  &gt; 1</t>
  </si>
  <si>
    <t>(ou inconnue)</t>
  </si>
  <si>
    <t>Récent</t>
  </si>
  <si>
    <t>Perméabilité mesurée ≤ 1</t>
  </si>
  <si>
    <t>Type de VMC dans l'étude</t>
  </si>
  <si>
    <t>Ville (code postal)</t>
  </si>
  <si>
    <t>SF Auto</t>
  </si>
  <si>
    <t>SF Hygro A</t>
  </si>
  <si>
    <t>SF Hygro B</t>
  </si>
  <si>
    <t>Double Flux</t>
  </si>
  <si>
    <t>Débit max par bouche (m3/h)</t>
  </si>
  <si>
    <t>Débit max pour une bouche (en m3/h)</t>
  </si>
  <si>
    <t>Perméabilité de l'enveloppe Q4Pa</t>
  </si>
  <si>
    <t>Type d'appareil à bois</t>
  </si>
  <si>
    <t>Rendement nominal</t>
  </si>
  <si>
    <t>Puissance nominale</t>
  </si>
  <si>
    <t>Ici, précisez les informations liées à la partie C si elle existe.</t>
  </si>
  <si>
    <t>Partie complémentaire NON distribuée (A+B+B_bis &lt; 100m²)</t>
  </si>
  <si>
    <t>B_bis</t>
  </si>
  <si>
    <t>Total C : Partie complémentaire distribuée (A+B+Bbis+C &gt; 100m²)</t>
  </si>
  <si>
    <t>Partie SdB et autres pièces avec appoint dédié</t>
  </si>
  <si>
    <t>à renseigner pour utilisation</t>
  </si>
  <si>
    <t>à renseigner pour info</t>
  </si>
  <si>
    <t>Valeurs auto. TitreV</t>
  </si>
  <si>
    <t>Valeurs auto. AIRWOOD</t>
  </si>
  <si>
    <t>Vérification : Surface zones A+B+B_bis &lt; 100 m²</t>
  </si>
  <si>
    <t>Vérification : Surface Habitable</t>
  </si>
  <si>
    <t>case avec encadré noir sur fond blanc</t>
  </si>
  <si>
    <t>case avec encadré noir sur fond orange</t>
  </si>
  <si>
    <t>case avec encadré bleu sur fond bleu</t>
  </si>
  <si>
    <t>case avec encadré bleu sur fond blanc</t>
  </si>
  <si>
    <t>We</t>
  </si>
  <si>
    <r>
      <t xml:space="preserve">Taux </t>
    </r>
    <r>
      <rPr>
        <vertAlign val="subscript"/>
        <sz val="11"/>
        <color theme="1"/>
        <rFont val="Calibri"/>
        <family val="2"/>
        <scheme val="minor"/>
      </rPr>
      <t>DACR</t>
    </r>
  </si>
  <si>
    <r>
      <t>P</t>
    </r>
    <r>
      <rPr>
        <vertAlign val="subscript"/>
        <sz val="11"/>
        <color theme="1"/>
        <rFont val="Calibri"/>
        <family val="2"/>
        <scheme val="minor"/>
      </rPr>
      <t>moy__base_DACR</t>
    </r>
  </si>
  <si>
    <r>
      <t>q</t>
    </r>
    <r>
      <rPr>
        <vertAlign val="subscript"/>
        <sz val="11"/>
        <color theme="1"/>
        <rFont val="Calibri"/>
        <family val="2"/>
        <scheme val="minor"/>
      </rPr>
      <t>v_DACR</t>
    </r>
  </si>
  <si>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moy_DACR</t>
    </r>
  </si>
  <si>
    <r>
      <t>P</t>
    </r>
    <r>
      <rPr>
        <vertAlign val="subscript"/>
        <sz val="11"/>
        <color theme="1"/>
        <rFont val="Calibri"/>
        <family val="2"/>
        <scheme val="minor"/>
      </rPr>
      <t>moy_base_DACR</t>
    </r>
  </si>
  <si>
    <r>
      <rPr>
        <sz val="11"/>
        <color theme="1"/>
        <rFont val="Calibri"/>
        <family val="2"/>
      </rPr>
      <t>∑</t>
    </r>
    <r>
      <rPr>
        <sz val="11"/>
        <color theme="1"/>
        <rFont val="Calibri"/>
        <family val="2"/>
        <scheme val="minor"/>
      </rPr>
      <t>P</t>
    </r>
    <r>
      <rPr>
        <vertAlign val="subscript"/>
        <sz val="11"/>
        <color theme="1"/>
        <rFont val="Calibri"/>
        <family val="2"/>
        <scheme val="minor"/>
      </rPr>
      <t>dep_Ch</t>
    </r>
  </si>
  <si>
    <r>
      <t xml:space="preserve">Taux </t>
    </r>
    <r>
      <rPr>
        <vertAlign val="subscript"/>
        <sz val="11"/>
        <color theme="1"/>
        <rFont val="Calibri"/>
        <family val="2"/>
        <scheme val="minor"/>
      </rPr>
      <t>Bois+DACR</t>
    </r>
    <r>
      <rPr>
        <sz val="11"/>
        <color theme="1"/>
        <rFont val="Calibri"/>
        <family val="2"/>
        <scheme val="minor"/>
      </rPr>
      <t xml:space="preserve"> = 0,3 + </t>
    </r>
  </si>
  <si>
    <t>Ratem_t =</t>
  </si>
  <si>
    <t>Vérification : Déperditions</t>
  </si>
  <si>
    <t>Test 2020 MCC</t>
  </si>
  <si>
    <t>Séjour/Cuisine</t>
  </si>
  <si>
    <t>Dgt</t>
  </si>
  <si>
    <t>Présence ou non de l'appoint régulé</t>
  </si>
  <si>
    <t>Puissance de l'appoint régulé</t>
  </si>
  <si>
    <t>Présence d'un appoint régulé</t>
  </si>
  <si>
    <t>BOOSTY</t>
  </si>
  <si>
    <t>Puissance moy. disponible avec Echangeur + DACR + Boosty</t>
  </si>
  <si>
    <t>v07</t>
  </si>
  <si>
    <t>Choix d'une valeur unique minorée</t>
  </si>
  <si>
    <t>Nombre de bouches distribuées</t>
  </si>
  <si>
    <t>Réglage du potentiomètre R2E</t>
  </si>
  <si>
    <t>Débit total transféré (m3/h)</t>
  </si>
  <si>
    <t>Puissance moyenne consommée (W)</t>
  </si>
  <si>
    <r>
      <t xml:space="preserve">Renseignez les 2 cases ci-dessous </t>
    </r>
    <r>
      <rPr>
        <sz val="11"/>
        <color rgb="FFFF0000"/>
        <rFont val="Calibri"/>
        <family val="2"/>
        <scheme val="minor"/>
      </rPr>
      <t>UNIQUEMENT</t>
    </r>
    <r>
      <rPr>
        <sz val="11"/>
        <color theme="1"/>
        <rFont val="Calibri"/>
        <family val="2"/>
        <scheme val="minor"/>
      </rPr>
      <t xml:space="preserve"> dans le cas d'une étude GLOBALE 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</si>
</sst>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0.0%"/>
    <numFmt numFmtId="165" formatCode="General\ &quot;m²&quot;"/>
    <numFmt numFmtId="166" formatCode="General\ &quot;°C&quot;"/>
    <numFmt numFmtId="167" formatCode="General\ &quot;W&quot;"/>
    <numFmt numFmtId="168" formatCode="#,##0&quot; W d'écart&quot;"/>
    <numFmt numFmtId="169" formatCode="General&quot; m²&quot;"/>
    <numFmt numFmtId="170" formatCode="[$-40C]mmm\-yy;@"/>
    <numFmt numFmtId="171" formatCode="0.0&quot; kW&quot;"/>
    <numFmt numFmtId="172" formatCode="0.0&quot; m3/(h.m²)&quot;"/>
    <numFmt numFmtId="173" formatCode="0.000&quot; m3/h/m²Srt&quot;"/>
    <numFmt numFmtId="174" formatCode="General&quot; W&quot;"/>
    <numFmt numFmtId="175" formatCode="0.000&quot; kW&quot;"/>
    <numFmt numFmtId="176" formatCode="#,##0&quot; W&quot;"/>
    <numFmt numFmtId="177" formatCode="0.0&quot; W&quot;"/>
    <numFmt numFmtId="178" formatCode="General&quot; m3/h&quot;"/>
    <numFmt numFmtId="179" formatCode="General&quot;°C&quot;"/>
    <numFmt numFmtId="180" formatCode="General\ &quot;m3/(h.m²)&quot;"/>
    <numFmt numFmtId="181" formatCode="&quot; = &quot;0.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vertAlign val="subscript"/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0"/>
      <name val="Arial"/>
      <family val="2"/>
    </font>
    <font>
      <b/>
      <sz val="10"/>
      <color theme="4"/>
      <name val="Arial"/>
      <family val="2"/>
    </font>
    <font>
      <b/>
      <sz val="10"/>
      <color theme="7" tint="-0.249977111117893"/>
      <name val="Arial"/>
      <family val="2"/>
    </font>
    <font>
      <b/>
      <sz val="11"/>
      <color theme="7" tint="-0.249977111117893"/>
      <name val="Calibri"/>
      <family val="2"/>
      <scheme val="minor"/>
    </font>
    <font>
      <sz val="10"/>
      <color theme="5" tint="-0.249977111117893"/>
      <name val="Arial"/>
      <family val="2"/>
    </font>
    <font>
      <b/>
      <sz val="10"/>
      <color theme="5" tint="-0.249977111117893"/>
      <name val="Arial"/>
      <family val="2"/>
    </font>
    <font>
      <b/>
      <sz val="11"/>
      <color theme="5" tint="-0.249977111117893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8"/>
      <color theme="1"/>
      <name val="Arial"/>
      <family val="2"/>
    </font>
    <font>
      <vertAlign val="subscript"/>
      <sz val="8"/>
      <color theme="1"/>
      <name val="Arial"/>
      <family val="2"/>
    </font>
    <font>
      <sz val="11"/>
      <color theme="1"/>
      <name val="Wingdings"/>
      <charset val="2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 style="thin">
        <color indexed="64"/>
      </left>
      <right style="thin">
        <color indexed="64"/>
      </right>
      <top style="medium">
        <color theme="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6">
    <xf numFmtId="0" fontId="0" fillId="0" borderId="0" xfId="0"/>
    <xf numFmtId="0" fontId="0" fillId="2" borderId="0" xfId="0" applyFill="1"/>
    <xf numFmtId="0" fontId="0" fillId="6" borderId="0" xfId="0" applyFill="1"/>
    <xf numFmtId="0" fontId="4" fillId="6" borderId="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164" fontId="0" fillId="6" borderId="11" xfId="1" applyNumberFormat="1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/>
    <xf numFmtId="0" fontId="2" fillId="6" borderId="0" xfId="0" applyFont="1" applyFill="1" applyAlignment="1">
      <alignment horizontal="left"/>
    </xf>
    <xf numFmtId="0" fontId="2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2" fillId="6" borderId="0" xfId="0" applyFont="1" applyFill="1"/>
    <xf numFmtId="164" fontId="0" fillId="6" borderId="0" xfId="1" applyNumberFormat="1" applyFont="1" applyFill="1" applyAlignment="1">
      <alignment horizontal="center"/>
    </xf>
    <xf numFmtId="0" fontId="2" fillId="0" borderId="0" xfId="0" applyFont="1"/>
    <xf numFmtId="167" fontId="0" fillId="0" borderId="0" xfId="0" applyNumberFormat="1"/>
    <xf numFmtId="169" fontId="4" fillId="6" borderId="7" xfId="0" applyNumberFormat="1" applyFont="1" applyFill="1" applyBorder="1" applyAlignment="1">
      <alignment horizontal="center" vertical="center" wrapText="1"/>
    </xf>
    <xf numFmtId="0" fontId="0" fillId="6" borderId="0" xfId="0" applyFill="1" applyAlignment="1">
      <alignment horizontal="right"/>
    </xf>
    <xf numFmtId="170" fontId="10" fillId="6" borderId="0" xfId="0" applyNumberFormat="1" applyFont="1" applyFill="1"/>
    <xf numFmtId="0" fontId="0" fillId="6" borderId="0" xfId="0" applyFill="1" applyAlignment="1">
      <alignment horizontal="left" vertical="center"/>
    </xf>
    <xf numFmtId="0" fontId="0" fillId="6" borderId="0" xfId="0" applyFill="1" applyProtection="1">
      <protection locked="0"/>
    </xf>
    <xf numFmtId="172" fontId="0" fillId="0" borderId="0" xfId="0" applyNumberFormat="1"/>
    <xf numFmtId="169" fontId="0" fillId="0" borderId="0" xfId="0" applyNumberFormat="1"/>
    <xf numFmtId="173" fontId="0" fillId="0" borderId="0" xfId="0" applyNumberFormat="1"/>
    <xf numFmtId="0" fontId="4" fillId="6" borderId="9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174" fontId="0" fillId="6" borderId="0" xfId="0" applyNumberFormat="1" applyFill="1"/>
    <xf numFmtId="0" fontId="0" fillId="6" borderId="0" xfId="0" applyNumberFormat="1" applyFill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6" borderId="0" xfId="0" applyFont="1" applyFill="1" applyAlignment="1">
      <alignment horizontal="left"/>
    </xf>
    <xf numFmtId="0" fontId="0" fillId="6" borderId="0" xfId="0" applyFont="1" applyFill="1"/>
    <xf numFmtId="0" fontId="0" fillId="6" borderId="0" xfId="0" applyFont="1" applyFill="1" applyAlignment="1"/>
    <xf numFmtId="0" fontId="2" fillId="6" borderId="0" xfId="0" applyFont="1" applyFill="1" applyBorder="1"/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0" fillId="0" borderId="25" xfId="0" applyBorder="1"/>
    <xf numFmtId="0" fontId="0" fillId="0" borderId="26" xfId="0" applyBorder="1"/>
    <xf numFmtId="0" fontId="0" fillId="0" borderId="22" xfId="0" applyBorder="1" applyAlignment="1">
      <alignment horizontal="center" vertical="center"/>
    </xf>
    <xf numFmtId="0" fontId="13" fillId="0" borderId="26" xfId="0" applyFont="1" applyBorder="1"/>
    <xf numFmtId="0" fontId="13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0" fillId="6" borderId="0" xfId="0" applyFill="1" applyBorder="1"/>
    <xf numFmtId="0" fontId="16" fillId="0" borderId="0" xfId="0" applyFont="1"/>
    <xf numFmtId="164" fontId="15" fillId="6" borderId="0" xfId="0" applyNumberFormat="1" applyFont="1" applyFill="1" applyAlignment="1">
      <alignment horizontal="center"/>
    </xf>
    <xf numFmtId="0" fontId="4" fillId="6" borderId="9" xfId="0" applyFont="1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 vertical="center"/>
    </xf>
    <xf numFmtId="174" fontId="0" fillId="6" borderId="0" xfId="0" applyNumberFormat="1" applyFill="1" applyBorder="1" applyAlignment="1">
      <alignment horizontal="center" vertical="center"/>
    </xf>
    <xf numFmtId="9" fontId="0" fillId="6" borderId="7" xfId="1" applyFont="1" applyFill="1" applyBorder="1" applyAlignment="1">
      <alignment horizontal="center" vertical="center"/>
    </xf>
    <xf numFmtId="164" fontId="0" fillId="6" borderId="7" xfId="1" applyNumberFormat="1" applyFont="1" applyFill="1" applyBorder="1" applyAlignment="1">
      <alignment horizontal="center" vertical="center"/>
    </xf>
    <xf numFmtId="164" fontId="20" fillId="6" borderId="7" xfId="1" applyNumberFormat="1" applyFont="1" applyFill="1" applyBorder="1" applyAlignment="1">
      <alignment horizontal="center" vertical="center"/>
    </xf>
    <xf numFmtId="0" fontId="17" fillId="6" borderId="12" xfId="0" applyFont="1" applyFill="1" applyBorder="1" applyAlignment="1">
      <alignment horizontal="center" vertical="center" wrapText="1"/>
    </xf>
    <xf numFmtId="164" fontId="23" fillId="6" borderId="7" xfId="1" applyNumberFormat="1" applyFont="1" applyFill="1" applyBorder="1" applyAlignment="1">
      <alignment horizontal="center" vertical="center"/>
    </xf>
    <xf numFmtId="0" fontId="24" fillId="6" borderId="0" xfId="0" applyFont="1" applyFill="1" applyAlignment="1">
      <alignment horizontal="center"/>
    </xf>
    <xf numFmtId="0" fontId="18" fillId="6" borderId="12" xfId="0" applyFont="1" applyFill="1" applyBorder="1" applyAlignment="1">
      <alignment horizontal="center" vertical="center" wrapText="1"/>
    </xf>
    <xf numFmtId="0" fontId="0" fillId="6" borderId="17" xfId="0" applyFill="1" applyBorder="1" applyAlignment="1">
      <alignment horizontal="left" vertical="center"/>
    </xf>
    <xf numFmtId="0" fontId="0" fillId="6" borderId="0" xfId="0" applyFill="1" applyBorder="1" applyAlignment="1">
      <alignment horizontal="left" vertical="center"/>
    </xf>
    <xf numFmtId="0" fontId="25" fillId="10" borderId="9" xfId="0" applyFont="1" applyFill="1" applyBorder="1" applyAlignment="1">
      <alignment horizontal="center" vertical="center" wrapText="1"/>
    </xf>
    <xf numFmtId="0" fontId="25" fillId="10" borderId="7" xfId="0" applyFont="1" applyFill="1" applyBorder="1" applyAlignment="1">
      <alignment horizontal="center" vertical="center" wrapText="1"/>
    </xf>
    <xf numFmtId="0" fontId="25" fillId="10" borderId="6" xfId="0" applyFont="1" applyFill="1" applyBorder="1" applyAlignment="1">
      <alignment horizontal="center" vertical="center" wrapText="1"/>
    </xf>
    <xf numFmtId="9" fontId="0" fillId="6" borderId="7" xfId="1" applyFont="1" applyFill="1" applyBorder="1" applyAlignment="1">
      <alignment horizontal="center" vertical="center" wrapText="1"/>
    </xf>
    <xf numFmtId="0" fontId="0" fillId="6" borderId="17" xfId="0" applyFill="1" applyBorder="1"/>
    <xf numFmtId="0" fontId="0" fillId="6" borderId="18" xfId="0" applyFill="1" applyBorder="1"/>
    <xf numFmtId="0" fontId="0" fillId="6" borderId="0" xfId="0" applyFill="1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167" fontId="0" fillId="2" borderId="3" xfId="0" applyNumberFormat="1" applyFill="1" applyBorder="1"/>
    <xf numFmtId="167" fontId="0" fillId="2" borderId="4" xfId="0" applyNumberFormat="1" applyFill="1" applyBorder="1"/>
    <xf numFmtId="0" fontId="0" fillId="6" borderId="2" xfId="0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/>
    </xf>
    <xf numFmtId="2" fontId="0" fillId="6" borderId="1" xfId="0" applyNumberFormat="1" applyFill="1" applyBorder="1" applyAlignment="1">
      <alignment horizontal="center" vertical="center"/>
    </xf>
    <xf numFmtId="0" fontId="0" fillId="6" borderId="2" xfId="0" applyFill="1" applyBorder="1"/>
    <xf numFmtId="174" fontId="0" fillId="6" borderId="1" xfId="0" applyNumberFormat="1" applyFill="1" applyBorder="1"/>
    <xf numFmtId="174" fontId="0" fillId="6" borderId="5" xfId="0" applyNumberFormat="1" applyFill="1" applyBorder="1"/>
    <xf numFmtId="174" fontId="0" fillId="6" borderId="8" xfId="0" applyNumberFormat="1" applyFill="1" applyBorder="1"/>
    <xf numFmtId="174" fontId="0" fillId="6" borderId="6" xfId="0" applyNumberFormat="1" applyFill="1" applyBorder="1"/>
    <xf numFmtId="0" fontId="0" fillId="6" borderId="0" xfId="0" applyFill="1" applyBorder="1" applyAlignment="1">
      <alignment horizontal="left"/>
    </xf>
    <xf numFmtId="0" fontId="27" fillId="6" borderId="0" xfId="0" applyFont="1" applyFill="1"/>
    <xf numFmtId="0" fontId="2" fillId="6" borderId="30" xfId="0" applyFont="1" applyFill="1" applyBorder="1" applyProtection="1">
      <protection locked="0"/>
    </xf>
    <xf numFmtId="0" fontId="2" fillId="6" borderId="31" xfId="0" applyFont="1" applyFill="1" applyBorder="1" applyProtection="1">
      <protection locked="0"/>
    </xf>
    <xf numFmtId="0" fontId="2" fillId="4" borderId="31" xfId="0" applyFont="1" applyFill="1" applyBorder="1" applyProtection="1">
      <protection locked="0"/>
    </xf>
    <xf numFmtId="180" fontId="2" fillId="4" borderId="31" xfId="0" applyNumberFormat="1" applyFont="1" applyFill="1" applyBorder="1" applyAlignment="1" applyProtection="1">
      <alignment horizontal="left"/>
      <protection locked="0"/>
    </xf>
    <xf numFmtId="165" fontId="2" fillId="6" borderId="32" xfId="0" applyNumberFormat="1" applyFont="1" applyFill="1" applyBorder="1" applyAlignment="1" applyProtection="1">
      <alignment horizontal="left"/>
      <protection locked="0"/>
    </xf>
    <xf numFmtId="164" fontId="2" fillId="6" borderId="31" xfId="1" applyNumberFormat="1" applyFont="1" applyFill="1" applyBorder="1" applyAlignment="1" applyProtection="1">
      <alignment horizontal="left"/>
      <protection locked="0"/>
    </xf>
    <xf numFmtId="171" fontId="2" fillId="4" borderId="31" xfId="0" applyNumberFormat="1" applyFont="1" applyFill="1" applyBorder="1" applyAlignment="1" applyProtection="1">
      <alignment horizontal="left"/>
      <protection locked="0"/>
    </xf>
    <xf numFmtId="166" fontId="2" fillId="4" borderId="32" xfId="0" applyNumberFormat="1" applyFont="1" applyFill="1" applyBorder="1" applyAlignment="1" applyProtection="1">
      <alignment horizontal="left"/>
      <protection locked="0"/>
    </xf>
    <xf numFmtId="0" fontId="2" fillId="4" borderId="30" xfId="0" applyFont="1" applyFill="1" applyBorder="1" applyProtection="1">
      <protection locked="0"/>
    </xf>
    <xf numFmtId="167" fontId="2" fillId="4" borderId="32" xfId="0" applyNumberFormat="1" applyFont="1" applyFill="1" applyBorder="1" applyAlignment="1" applyProtection="1">
      <alignment horizontal="left"/>
      <protection locked="0"/>
    </xf>
    <xf numFmtId="165" fontId="2" fillId="9" borderId="30" xfId="0" applyNumberFormat="1" applyFont="1" applyFill="1" applyBorder="1" applyAlignment="1" applyProtection="1">
      <alignment horizontal="center"/>
      <protection locked="0"/>
    </xf>
    <xf numFmtId="174" fontId="0" fillId="4" borderId="32" xfId="0" applyNumberFormat="1" applyFill="1" applyBorder="1" applyAlignment="1" applyProtection="1">
      <alignment horizontal="center"/>
      <protection locked="0"/>
    </xf>
    <xf numFmtId="0" fontId="0" fillId="7" borderId="33" xfId="0" applyFill="1" applyBorder="1" applyAlignment="1" applyProtection="1">
      <alignment horizontal="center"/>
      <protection locked="0"/>
    </xf>
    <xf numFmtId="0" fontId="0" fillId="7" borderId="34" xfId="0" applyFill="1" applyBorder="1" applyAlignment="1" applyProtection="1">
      <alignment horizontal="center"/>
      <protection locked="0"/>
    </xf>
    <xf numFmtId="0" fontId="0" fillId="7" borderId="35" xfId="0" applyFill="1" applyBorder="1" applyAlignment="1" applyProtection="1">
      <alignment horizontal="center"/>
      <protection locked="0"/>
    </xf>
    <xf numFmtId="165" fontId="2" fillId="9" borderId="36" xfId="0" applyNumberFormat="1" applyFont="1" applyFill="1" applyBorder="1" applyAlignment="1" applyProtection="1">
      <alignment horizontal="center"/>
      <protection locked="0"/>
    </xf>
    <xf numFmtId="165" fontId="2" fillId="9" borderId="0" xfId="0" applyNumberFormat="1" applyFont="1" applyFill="1" applyBorder="1" applyAlignment="1" applyProtection="1">
      <alignment horizontal="center"/>
      <protection locked="0"/>
    </xf>
    <xf numFmtId="165" fontId="2" fillId="9" borderId="37" xfId="0" applyNumberFormat="1" applyFont="1" applyFill="1" applyBorder="1" applyAlignment="1" applyProtection="1">
      <alignment horizontal="center"/>
      <protection locked="0"/>
    </xf>
    <xf numFmtId="174" fontId="0" fillId="4" borderId="38" xfId="0" applyNumberFormat="1" applyFill="1" applyBorder="1" applyAlignment="1" applyProtection="1">
      <alignment horizontal="center"/>
      <protection locked="0"/>
    </xf>
    <xf numFmtId="174" fontId="0" fillId="4" borderId="39" xfId="0" applyNumberFormat="1" applyFill="1" applyBorder="1" applyAlignment="1" applyProtection="1">
      <alignment horizontal="center"/>
      <protection locked="0"/>
    </xf>
    <xf numFmtId="174" fontId="0" fillId="4" borderId="40" xfId="0" applyNumberFormat="1" applyFill="1" applyBorder="1" applyAlignment="1" applyProtection="1">
      <alignment horizontal="center"/>
      <protection locked="0"/>
    </xf>
    <xf numFmtId="167" fontId="0" fillId="4" borderId="38" xfId="0" applyNumberFormat="1" applyFont="1" applyFill="1" applyBorder="1" applyAlignment="1" applyProtection="1">
      <alignment horizontal="center"/>
      <protection locked="0"/>
    </xf>
    <xf numFmtId="167" fontId="0" fillId="4" borderId="39" xfId="0" applyNumberFormat="1" applyFont="1" applyFill="1" applyBorder="1" applyAlignment="1" applyProtection="1">
      <alignment horizontal="center"/>
      <protection locked="0"/>
    </xf>
    <xf numFmtId="164" fontId="10" fillId="6" borderId="39" xfId="1" applyNumberFormat="1" applyFont="1" applyFill="1" applyBorder="1" applyAlignment="1">
      <alignment horizontal="left"/>
    </xf>
    <xf numFmtId="164" fontId="0" fillId="6" borderId="40" xfId="1" applyNumberFormat="1" applyFont="1" applyFill="1" applyBorder="1" applyAlignment="1">
      <alignment horizontal="center"/>
    </xf>
    <xf numFmtId="0" fontId="2" fillId="0" borderId="30" xfId="0" applyFont="1" applyBorder="1"/>
    <xf numFmtId="0" fontId="2" fillId="4" borderId="32" xfId="0" applyFont="1" applyFill="1" applyBorder="1"/>
    <xf numFmtId="0" fontId="12" fillId="6" borderId="34" xfId="0" applyFont="1" applyFill="1" applyBorder="1"/>
    <xf numFmtId="178" fontId="0" fillId="6" borderId="25" xfId="0" applyNumberFormat="1" applyFill="1" applyBorder="1" applyAlignment="1">
      <alignment horizontal="left"/>
    </xf>
    <xf numFmtId="0" fontId="0" fillId="6" borderId="26" xfId="0" applyFill="1" applyBorder="1" applyAlignment="1">
      <alignment horizontal="left"/>
    </xf>
    <xf numFmtId="0" fontId="0" fillId="6" borderId="25" xfId="0" applyFill="1" applyBorder="1" applyAlignment="1">
      <alignment horizontal="left"/>
    </xf>
    <xf numFmtId="0" fontId="0" fillId="6" borderId="42" xfId="0" applyFill="1" applyBorder="1" applyAlignment="1">
      <alignment horizontal="left"/>
    </xf>
    <xf numFmtId="175" fontId="2" fillId="3" borderId="42" xfId="0" applyNumberFormat="1" applyFont="1" applyFill="1" applyBorder="1" applyAlignment="1">
      <alignment horizontal="left"/>
    </xf>
    <xf numFmtId="164" fontId="0" fillId="3" borderId="42" xfId="0" applyNumberFormat="1" applyFont="1" applyFill="1" applyBorder="1" applyAlignment="1">
      <alignment horizontal="left"/>
    </xf>
    <xf numFmtId="164" fontId="0" fillId="3" borderId="42" xfId="0" applyNumberFormat="1" applyFill="1" applyBorder="1" applyAlignment="1">
      <alignment horizontal="left"/>
    </xf>
    <xf numFmtId="177" fontId="0" fillId="3" borderId="26" xfId="0" applyNumberFormat="1" applyFill="1" applyBorder="1" applyAlignment="1">
      <alignment horizontal="left"/>
    </xf>
    <xf numFmtId="0" fontId="0" fillId="6" borderId="25" xfId="0" applyFill="1" applyBorder="1"/>
    <xf numFmtId="0" fontId="0" fillId="3" borderId="26" xfId="0" applyFill="1" applyBorder="1"/>
    <xf numFmtId="165" fontId="0" fillId="6" borderId="25" xfId="0" applyNumberFormat="1" applyFont="1" applyFill="1" applyBorder="1" applyAlignment="1">
      <alignment horizontal="center"/>
    </xf>
    <xf numFmtId="176" fontId="0" fillId="6" borderId="26" xfId="0" applyNumberFormat="1" applyFill="1" applyBorder="1" applyAlignment="1">
      <alignment horizontal="center"/>
    </xf>
    <xf numFmtId="176" fontId="0" fillId="6" borderId="25" xfId="0" applyNumberFormat="1" applyFill="1" applyBorder="1" applyAlignment="1">
      <alignment horizontal="center"/>
    </xf>
    <xf numFmtId="1" fontId="7" fillId="6" borderId="42" xfId="0" applyNumberFormat="1" applyFont="1" applyFill="1" applyBorder="1" applyAlignment="1">
      <alignment horizontal="center"/>
    </xf>
    <xf numFmtId="168" fontId="0" fillId="6" borderId="26" xfId="0" applyNumberFormat="1" applyFill="1" applyBorder="1" applyAlignment="1">
      <alignment horizontal="center"/>
    </xf>
    <xf numFmtId="164" fontId="0" fillId="6" borderId="14" xfId="1" applyNumberFormat="1" applyFont="1" applyFill="1" applyBorder="1" applyAlignment="1">
      <alignment horizontal="center"/>
    </xf>
    <xf numFmtId="164" fontId="0" fillId="6" borderId="19" xfId="1" applyNumberFormat="1" applyFont="1" applyFill="1" applyBorder="1" applyAlignment="1">
      <alignment horizontal="center"/>
    </xf>
    <xf numFmtId="0" fontId="0" fillId="6" borderId="19" xfId="0" applyFill="1" applyBorder="1"/>
    <xf numFmtId="0" fontId="0" fillId="6" borderId="19" xfId="0" applyFill="1" applyBorder="1" applyAlignment="1">
      <alignment horizontal="center"/>
    </xf>
    <xf numFmtId="165" fontId="0" fillId="6" borderId="15" xfId="0" applyNumberFormat="1" applyFill="1" applyBorder="1" applyAlignment="1">
      <alignment horizontal="center"/>
    </xf>
    <xf numFmtId="174" fontId="0" fillId="0" borderId="20" xfId="0" applyNumberFormat="1" applyBorder="1" applyAlignment="1">
      <alignment horizontal="center"/>
    </xf>
    <xf numFmtId="0" fontId="10" fillId="6" borderId="34" xfId="0" applyFont="1" applyFill="1" applyBorder="1" applyAlignment="1">
      <alignment horizontal="left"/>
    </xf>
    <xf numFmtId="0" fontId="0" fillId="6" borderId="34" xfId="0" applyFill="1" applyBorder="1"/>
    <xf numFmtId="0" fontId="10" fillId="6" borderId="35" xfId="0" applyFont="1" applyFill="1" applyBorder="1" applyAlignment="1">
      <alignment vertical="center" wrapText="1"/>
    </xf>
    <xf numFmtId="0" fontId="10" fillId="6" borderId="0" xfId="0" applyFont="1" applyFill="1" applyBorder="1"/>
    <xf numFmtId="0" fontId="10" fillId="6" borderId="37" xfId="0" applyFont="1" applyFill="1" applyBorder="1" applyAlignment="1">
      <alignment vertical="center" wrapText="1"/>
    </xf>
    <xf numFmtId="0" fontId="0" fillId="6" borderId="39" xfId="0" applyFill="1" applyBorder="1"/>
    <xf numFmtId="0" fontId="0" fillId="6" borderId="40" xfId="0" applyFill="1" applyBorder="1"/>
    <xf numFmtId="165" fontId="2" fillId="6" borderId="14" xfId="0" applyNumberFormat="1" applyFont="1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164" fontId="0" fillId="6" borderId="16" xfId="1" applyNumberFormat="1" applyFont="1" applyFill="1" applyBorder="1" applyAlignment="1">
      <alignment horizontal="center"/>
    </xf>
    <xf numFmtId="165" fontId="0" fillId="6" borderId="17" xfId="0" applyNumberFormat="1" applyFill="1" applyBorder="1" applyAlignment="1">
      <alignment horizontal="center"/>
    </xf>
    <xf numFmtId="164" fontId="0" fillId="6" borderId="18" xfId="0" applyNumberFormat="1" applyFill="1" applyBorder="1" applyAlignment="1">
      <alignment horizontal="center"/>
    </xf>
    <xf numFmtId="174" fontId="0" fillId="0" borderId="19" xfId="0" applyNumberFormat="1" applyBorder="1" applyAlignment="1">
      <alignment horizontal="center"/>
    </xf>
    <xf numFmtId="0" fontId="0" fillId="6" borderId="20" xfId="0" applyFill="1" applyBorder="1" applyAlignment="1">
      <alignment horizontal="center"/>
    </xf>
    <xf numFmtId="0" fontId="0" fillId="6" borderId="21" xfId="0" applyFill="1" applyBorder="1"/>
    <xf numFmtId="0" fontId="0" fillId="6" borderId="14" xfId="0" applyFill="1" applyBorder="1"/>
    <xf numFmtId="0" fontId="0" fillId="6" borderId="16" xfId="0" applyFill="1" applyBorder="1"/>
    <xf numFmtId="164" fontId="0" fillId="8" borderId="0" xfId="1" applyNumberFormat="1" applyFont="1" applyFill="1" applyBorder="1" applyAlignment="1">
      <alignment horizontal="center"/>
    </xf>
    <xf numFmtId="0" fontId="11" fillId="6" borderId="20" xfId="0" applyFont="1" applyFill="1" applyBorder="1" applyAlignment="1">
      <alignment horizontal="center"/>
    </xf>
    <xf numFmtId="167" fontId="0" fillId="4" borderId="40" xfId="0" applyNumberFormat="1" applyFont="1" applyFill="1" applyBorder="1" applyAlignment="1" applyProtection="1">
      <alignment horizontal="center"/>
      <protection locked="0"/>
    </xf>
    <xf numFmtId="0" fontId="0" fillId="11" borderId="0" xfId="0" applyFill="1"/>
    <xf numFmtId="0" fontId="25" fillId="0" borderId="12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0" fillId="0" borderId="9" xfId="0" applyBorder="1"/>
    <xf numFmtId="0" fontId="0" fillId="0" borderId="12" xfId="0" applyFill="1" applyBorder="1"/>
    <xf numFmtId="0" fontId="0" fillId="0" borderId="7" xfId="0" applyFill="1" applyBorder="1"/>
    <xf numFmtId="0" fontId="2" fillId="6" borderId="0" xfId="0" applyFont="1" applyFill="1" applyProtection="1"/>
    <xf numFmtId="0" fontId="0" fillId="6" borderId="0" xfId="0" applyFill="1" applyProtection="1"/>
    <xf numFmtId="174" fontId="0" fillId="6" borderId="20" xfId="0" applyNumberFormat="1" applyFill="1" applyBorder="1" applyAlignment="1">
      <alignment horizontal="center" vertical="top"/>
    </xf>
    <xf numFmtId="174" fontId="0" fillId="6" borderId="0" xfId="0" applyNumberFormat="1" applyFill="1" applyBorder="1" applyAlignment="1">
      <alignment horizontal="center"/>
    </xf>
    <xf numFmtId="0" fontId="0" fillId="6" borderId="2" xfId="0" applyFill="1" applyBorder="1" applyAlignment="1">
      <alignment vertical="center"/>
    </xf>
    <xf numFmtId="0" fontId="0" fillId="0" borderId="0" xfId="0" applyBorder="1"/>
    <xf numFmtId="174" fontId="0" fillId="6" borderId="0" xfId="0" applyNumberFormat="1" applyFill="1" applyBorder="1" applyAlignment="1">
      <alignment horizontal="right"/>
    </xf>
    <xf numFmtId="174" fontId="0" fillId="6" borderId="41" xfId="0" applyNumberFormat="1" applyFill="1" applyBorder="1" applyAlignment="1">
      <alignment horizontal="left"/>
    </xf>
    <xf numFmtId="179" fontId="0" fillId="6" borderId="0" xfId="0" applyNumberFormat="1" applyFill="1" applyBorder="1" applyAlignment="1" applyProtection="1">
      <alignment horizontal="center"/>
    </xf>
    <xf numFmtId="0" fontId="30" fillId="6" borderId="0" xfId="0" applyFont="1" applyFill="1"/>
    <xf numFmtId="0" fontId="10" fillId="6" borderId="0" xfId="0" applyFont="1" applyFill="1" applyAlignment="1">
      <alignment horizontal="left" vertical="center" wrapText="1"/>
    </xf>
    <xf numFmtId="0" fontId="0" fillId="8" borderId="0" xfId="0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/>
    </xf>
    <xf numFmtId="0" fontId="10" fillId="6" borderId="34" xfId="0" applyFont="1" applyFill="1" applyBorder="1" applyAlignment="1">
      <alignment horizontal="left" vertical="center" wrapText="1"/>
    </xf>
    <xf numFmtId="0" fontId="10" fillId="6" borderId="35" xfId="0" applyFont="1" applyFill="1" applyBorder="1" applyAlignment="1">
      <alignment horizontal="left" vertical="center" wrapText="1"/>
    </xf>
    <xf numFmtId="0" fontId="10" fillId="6" borderId="0" xfId="0" applyFont="1" applyFill="1" applyBorder="1" applyAlignment="1">
      <alignment horizontal="left" vertical="center" wrapText="1"/>
    </xf>
    <xf numFmtId="0" fontId="10" fillId="6" borderId="37" xfId="0" applyFont="1" applyFill="1" applyBorder="1" applyAlignment="1">
      <alignment horizontal="left" vertical="center" wrapText="1"/>
    </xf>
    <xf numFmtId="0" fontId="12" fillId="8" borderId="0" xfId="0" applyFont="1" applyFill="1" applyBorder="1" applyAlignment="1">
      <alignment horizontal="center" wrapText="1"/>
    </xf>
    <xf numFmtId="0" fontId="0" fillId="6" borderId="19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8" xfId="0" applyFill="1" applyBorder="1" applyAlignment="1">
      <alignment horizontal="center" wrapText="1"/>
    </xf>
    <xf numFmtId="0" fontId="0" fillId="6" borderId="21" xfId="0" applyFill="1" applyBorder="1" applyAlignment="1">
      <alignment horizontal="center" wrapText="1"/>
    </xf>
    <xf numFmtId="0" fontId="0" fillId="6" borderId="14" xfId="0" applyFill="1" applyBorder="1" applyAlignment="1">
      <alignment horizontal="left" vertical="center" wrapText="1"/>
    </xf>
    <xf numFmtId="0" fontId="0" fillId="6" borderId="15" xfId="0" applyFill="1" applyBorder="1" applyAlignment="1">
      <alignment horizontal="left" vertical="center" wrapText="1"/>
    </xf>
    <xf numFmtId="0" fontId="0" fillId="6" borderId="16" xfId="0" applyFill="1" applyBorder="1" applyAlignment="1">
      <alignment horizontal="left" vertical="center" wrapText="1"/>
    </xf>
    <xf numFmtId="0" fontId="0" fillId="6" borderId="2" xfId="0" applyFill="1" applyBorder="1" applyAlignment="1">
      <alignment horizontal="right" vertical="center"/>
    </xf>
    <xf numFmtId="0" fontId="0" fillId="6" borderId="0" xfId="0" applyFill="1" applyBorder="1" applyAlignment="1">
      <alignment horizontal="right" vertical="center"/>
    </xf>
    <xf numFmtId="181" fontId="0" fillId="6" borderId="1" xfId="0" applyNumberFormat="1" applyFill="1" applyBorder="1" applyAlignment="1">
      <alignment horizontal="left" vertical="center"/>
    </xf>
    <xf numFmtId="0" fontId="4" fillId="6" borderId="2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21" fillId="6" borderId="5" xfId="0" applyFont="1" applyFill="1" applyBorder="1" applyAlignment="1">
      <alignment horizontal="center" vertical="center" wrapText="1"/>
    </xf>
    <xf numFmtId="0" fontId="21" fillId="6" borderId="6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169" fontId="4" fillId="6" borderId="5" xfId="0" applyNumberFormat="1" applyFont="1" applyFill="1" applyBorder="1" applyAlignment="1">
      <alignment horizontal="center" vertical="center" wrapText="1"/>
    </xf>
    <xf numFmtId="169" fontId="4" fillId="6" borderId="8" xfId="0" applyNumberFormat="1" applyFont="1" applyFill="1" applyBorder="1" applyAlignment="1">
      <alignment horizontal="center" vertical="center" wrapText="1"/>
    </xf>
    <xf numFmtId="169" fontId="4" fillId="6" borderId="6" xfId="0" applyNumberFormat="1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169" fontId="4" fillId="6" borderId="5" xfId="0" applyNumberFormat="1" applyFont="1" applyFill="1" applyBorder="1" applyAlignment="1">
      <alignment horizontal="center" vertical="center"/>
    </xf>
    <xf numFmtId="169" fontId="4" fillId="6" borderId="8" xfId="0" applyNumberFormat="1" applyFont="1" applyFill="1" applyBorder="1" applyAlignment="1">
      <alignment horizontal="center" vertical="center"/>
    </xf>
    <xf numFmtId="169" fontId="4" fillId="6" borderId="6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10" borderId="29" xfId="0" applyFont="1" applyFill="1" applyBorder="1" applyAlignment="1">
      <alignment horizontal="center" vertical="center" wrapText="1"/>
    </xf>
    <xf numFmtId="0" fontId="25" fillId="10" borderId="28" xfId="0" applyFont="1" applyFill="1" applyBorder="1" applyAlignment="1">
      <alignment horizontal="center" vertical="center" wrapText="1"/>
    </xf>
    <xf numFmtId="0" fontId="25" fillId="10" borderId="27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1" fillId="0" borderId="43" xfId="0" applyFont="1" applyBorder="1" applyAlignment="1">
      <alignment horizontal="center" vertical="center" wrapText="1"/>
    </xf>
    <xf numFmtId="0" fontId="31" fillId="0" borderId="27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174" fontId="2" fillId="4" borderId="44" xfId="0" applyNumberFormat="1" applyFont="1" applyFill="1" applyBorder="1" applyAlignment="1" applyProtection="1">
      <alignment horizontal="left"/>
      <protection locked="0"/>
    </xf>
    <xf numFmtId="0" fontId="0" fillId="12" borderId="30" xfId="0" applyFill="1" applyBorder="1" applyAlignment="1" applyProtection="1">
      <alignment horizontal="center" vertical="center" wrapText="1"/>
      <protection locked="0"/>
    </xf>
    <xf numFmtId="169" fontId="0" fillId="12" borderId="32" xfId="0" applyNumberFormat="1" applyFill="1" applyBorder="1" applyAlignment="1" applyProtection="1">
      <alignment horizontal="center" vertical="center" wrapText="1"/>
      <protection locked="0"/>
    </xf>
    <xf numFmtId="167" fontId="0" fillId="6" borderId="25" xfId="0" applyNumberFormat="1" applyFill="1" applyBorder="1" applyAlignment="1" applyProtection="1">
      <alignment horizontal="left"/>
    </xf>
  </cellXfs>
  <cellStyles count="2">
    <cellStyle name="Normal" xfId="0" builtinId="0"/>
    <cellStyle name="Pourcentage" xfId="1" builtinId="5"/>
  </cellStyles>
  <dxfs count="22">
    <dxf>
      <font>
        <b/>
        <i val="0"/>
        <color theme="9" tint="-0.24994659260841701"/>
      </font>
    </dxf>
    <dxf>
      <font>
        <b/>
        <i val="0"/>
        <color theme="9" tint="-0.24994659260841701"/>
      </font>
    </dxf>
    <dxf>
      <font>
        <b/>
        <i val="0"/>
        <color theme="7" tint="-0.24994659260841701"/>
      </font>
    </dxf>
    <dxf>
      <font>
        <b/>
        <i val="0"/>
        <color theme="9" tint="-0.499984740745262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b/>
        <i val="0"/>
        <color theme="5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theme="2"/>
        </patternFill>
      </fill>
    </dxf>
    <dxf>
      <font>
        <color rgb="FFFF0000"/>
      </font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theme="2"/>
        </patternFill>
      </fill>
    </dxf>
  </dxfs>
  <tableStyles count="0" defaultTableStyle="TableStyleMedium2" defaultPivotStyle="PivotStyleLight16"/>
  <colors>
    <mruColors>
      <color rgb="FFFF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35016</xdr:colOff>
      <xdr:row>1</xdr:row>
      <xdr:rowOff>97117</xdr:rowOff>
    </xdr:from>
    <xdr:to>
      <xdr:col>12</xdr:col>
      <xdr:colOff>575092</xdr:colOff>
      <xdr:row>3</xdr:row>
      <xdr:rowOff>177180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236C5492-0017-4EB8-8790-58BD36366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06310" y="478117"/>
          <a:ext cx="1541135" cy="468000"/>
        </a:xfrm>
        <a:prstGeom prst="rect">
          <a:avLst/>
        </a:prstGeom>
      </xdr:spPr>
    </xdr:pic>
    <xdr:clientData/>
  </xdr:twoCellAnchor>
  <xdr:twoCellAnchor editAs="oneCell">
    <xdr:from>
      <xdr:col>8</xdr:col>
      <xdr:colOff>552824</xdr:colOff>
      <xdr:row>1</xdr:row>
      <xdr:rowOff>52299</xdr:rowOff>
    </xdr:from>
    <xdr:to>
      <xdr:col>10</xdr:col>
      <xdr:colOff>174008</xdr:colOff>
      <xdr:row>6</xdr:row>
      <xdr:rowOff>332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58181" y="433299"/>
          <a:ext cx="1362898" cy="8733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14</xdr:col>
      <xdr:colOff>274062</xdr:colOff>
      <xdr:row>17</xdr:row>
      <xdr:rowOff>117750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6D56E49-14F7-4BF8-B628-4B6770064A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354"/>
        <a:stretch/>
      </xdr:blipFill>
      <xdr:spPr bwMode="auto">
        <a:xfrm>
          <a:off x="8724900" y="368300"/>
          <a:ext cx="3322062" cy="2880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view="pageBreakPreview" zoomScale="70" zoomScaleNormal="70" zoomScaleSheetLayoutView="70" workbookViewId="0">
      <selection activeCell="C29" sqref="C29"/>
    </sheetView>
  </sheetViews>
  <sheetFormatPr baseColWidth="10" defaultColWidth="10.81640625" defaultRowHeight="14.5" x14ac:dyDescent="0.35"/>
  <cols>
    <col min="1" max="1" width="4.7265625" customWidth="1"/>
    <col min="2" max="2" width="36.7265625" customWidth="1"/>
    <col min="3" max="3" width="16.453125" customWidth="1"/>
    <col min="4" max="4" width="7.453125" customWidth="1"/>
    <col min="5" max="6" width="3.26953125" customWidth="1"/>
    <col min="7" max="7" width="10.453125" customWidth="1"/>
    <col min="8" max="8" width="60.1796875" customWidth="1"/>
    <col min="9" max="9" width="10.7265625" customWidth="1"/>
    <col min="10" max="10" width="14.1796875" customWidth="1"/>
    <col min="11" max="11" width="10.7265625" customWidth="1"/>
    <col min="12" max="12" width="14.36328125" customWidth="1"/>
    <col min="13" max="13" width="16.36328125" customWidth="1"/>
    <col min="14" max="14" width="10.7265625" customWidth="1"/>
    <col min="15" max="15" width="5.6328125" customWidth="1"/>
    <col min="17" max="17" width="20.7265625" customWidth="1"/>
    <col min="18" max="18" width="15.81640625" bestFit="1" customWidth="1"/>
  </cols>
  <sheetData>
    <row r="1" spans="1:18" s="8" customFormat="1" ht="30" customHeight="1" x14ac:dyDescent="0.35">
      <c r="A1" s="7"/>
      <c r="B1" s="181" t="s">
        <v>102</v>
      </c>
      <c r="C1" s="181"/>
      <c r="D1" s="181"/>
      <c r="E1" s="181"/>
      <c r="F1" s="181"/>
      <c r="G1" s="181"/>
      <c r="H1" s="181"/>
      <c r="I1" s="7"/>
      <c r="J1" s="7"/>
      <c r="K1" s="7"/>
      <c r="L1" s="7"/>
      <c r="M1" s="7"/>
      <c r="N1" s="7"/>
      <c r="O1" s="7"/>
    </row>
    <row r="2" spans="1:18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8" ht="15" thickBot="1" x14ac:dyDescent="0.4">
      <c r="A3" s="2"/>
      <c r="B3" s="9" t="s">
        <v>24</v>
      </c>
      <c r="C3" s="10" t="s">
        <v>23</v>
      </c>
      <c r="D3" s="2"/>
      <c r="E3" s="2"/>
      <c r="F3" s="2"/>
      <c r="G3" s="11" t="s">
        <v>47</v>
      </c>
      <c r="H3" s="2"/>
      <c r="I3" s="2"/>
      <c r="J3" s="2"/>
      <c r="K3" s="2"/>
      <c r="L3" s="2"/>
      <c r="M3" s="2"/>
      <c r="N3" s="2"/>
      <c r="O3" s="2"/>
    </row>
    <row r="4" spans="1:18" x14ac:dyDescent="0.35">
      <c r="A4" s="2"/>
      <c r="B4" s="119" t="s">
        <v>160</v>
      </c>
      <c r="C4" s="2" t="s">
        <v>152</v>
      </c>
      <c r="D4" s="2"/>
      <c r="E4" s="2"/>
      <c r="F4" s="2"/>
      <c r="G4" s="12" t="s">
        <v>43</v>
      </c>
      <c r="H4" s="2" t="s">
        <v>48</v>
      </c>
      <c r="I4" s="2"/>
      <c r="J4" s="2"/>
      <c r="K4" s="2"/>
      <c r="L4" s="2"/>
      <c r="M4" s="2"/>
      <c r="N4" s="2"/>
      <c r="O4" s="2"/>
    </row>
    <row r="5" spans="1:18" ht="15" thickBot="1" x14ac:dyDescent="0.4">
      <c r="A5" s="2"/>
      <c r="B5" s="120" t="s">
        <v>159</v>
      </c>
      <c r="C5" s="2" t="s">
        <v>151</v>
      </c>
      <c r="D5" s="2"/>
      <c r="E5" s="2"/>
      <c r="F5" s="2"/>
      <c r="G5" s="12" t="s">
        <v>44</v>
      </c>
      <c r="H5" s="2" t="s">
        <v>103</v>
      </c>
      <c r="I5" s="2"/>
      <c r="J5" s="2"/>
      <c r="K5" s="2"/>
      <c r="L5" s="19"/>
      <c r="M5" s="2"/>
      <c r="N5" s="2"/>
      <c r="O5" s="2"/>
    </row>
    <row r="6" spans="1:18" x14ac:dyDescent="0.35">
      <c r="A6" s="2"/>
      <c r="B6" s="13"/>
      <c r="C6" s="2"/>
      <c r="D6" s="2"/>
      <c r="E6" s="2"/>
      <c r="F6" s="2"/>
      <c r="G6" s="12" t="s">
        <v>148</v>
      </c>
      <c r="H6" s="2" t="s">
        <v>147</v>
      </c>
      <c r="I6" s="2"/>
      <c r="J6" s="2"/>
      <c r="K6" s="2"/>
      <c r="L6" s="2"/>
      <c r="M6" s="18" t="s">
        <v>179</v>
      </c>
      <c r="N6" s="13"/>
      <c r="O6" s="2"/>
    </row>
    <row r="7" spans="1:18" x14ac:dyDescent="0.35">
      <c r="A7" s="2"/>
      <c r="B7" s="130" t="s">
        <v>157</v>
      </c>
      <c r="C7" s="2" t="s">
        <v>154</v>
      </c>
      <c r="D7" s="2"/>
      <c r="E7" s="2"/>
      <c r="F7" s="2"/>
      <c r="G7" s="12" t="s">
        <v>46</v>
      </c>
      <c r="H7" s="2" t="s">
        <v>101</v>
      </c>
      <c r="I7" s="2"/>
      <c r="J7" s="2"/>
      <c r="K7" s="2"/>
      <c r="L7" s="2"/>
      <c r="M7" s="2"/>
      <c r="N7" s="2"/>
      <c r="O7" s="2"/>
    </row>
    <row r="8" spans="1:18" ht="14.5" customHeight="1" x14ac:dyDescent="0.35">
      <c r="A8" s="2"/>
      <c r="B8" s="131" t="s">
        <v>158</v>
      </c>
      <c r="C8" s="2" t="s">
        <v>153</v>
      </c>
      <c r="D8" s="2"/>
      <c r="E8" s="2"/>
      <c r="F8" s="2"/>
      <c r="G8" s="12" t="s">
        <v>45</v>
      </c>
      <c r="H8" s="2" t="s">
        <v>150</v>
      </c>
      <c r="I8" s="2"/>
      <c r="J8" s="2"/>
      <c r="K8" s="2"/>
      <c r="L8" s="2"/>
      <c r="M8" s="2"/>
      <c r="N8" s="2"/>
      <c r="O8" s="2"/>
    </row>
    <row r="9" spans="1:18" ht="26" customHeight="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191" t="s">
        <v>185</v>
      </c>
      <c r="L9" s="192"/>
      <c r="M9" s="192"/>
      <c r="N9" s="193"/>
      <c r="O9" s="2"/>
    </row>
    <row r="10" spans="1:18" ht="14.5" customHeight="1" thickBot="1" x14ac:dyDescent="0.4">
      <c r="A10" s="2"/>
      <c r="B10" s="9" t="s">
        <v>11</v>
      </c>
      <c r="C10" s="2"/>
      <c r="D10" s="2"/>
      <c r="E10" s="2"/>
      <c r="F10" s="2"/>
      <c r="G10" s="12"/>
      <c r="H10" s="9" t="s">
        <v>89</v>
      </c>
      <c r="I10" s="12" t="s">
        <v>85</v>
      </c>
      <c r="J10" s="2"/>
      <c r="K10" s="77"/>
      <c r="L10" s="58"/>
      <c r="M10" s="58"/>
      <c r="N10" s="78"/>
      <c r="O10" s="2"/>
    </row>
    <row r="11" spans="1:18" x14ac:dyDescent="0.35">
      <c r="A11" s="2"/>
      <c r="B11" s="13" t="s">
        <v>1</v>
      </c>
      <c r="C11" s="94" t="s">
        <v>171</v>
      </c>
      <c r="D11" s="93" t="str">
        <f>IF(C11="","ï","")</f>
        <v/>
      </c>
      <c r="E11" s="2"/>
      <c r="F11" s="2"/>
      <c r="G11" s="12"/>
      <c r="H11" s="13" t="s">
        <v>77</v>
      </c>
      <c r="I11" s="104">
        <v>91.91</v>
      </c>
      <c r="J11" s="93" t="str">
        <f>IF(I11="","ï","")</f>
        <v/>
      </c>
      <c r="K11" s="71" t="s">
        <v>99</v>
      </c>
      <c r="L11" s="72"/>
      <c r="M11" s="233"/>
      <c r="N11" s="189" t="str">
        <f>IF(M11&lt;&gt;"","Etude GLOBALE",IF(M12&lt;&gt;"","Etude GLOBALE",""))</f>
        <v/>
      </c>
      <c r="O11" s="2"/>
    </row>
    <row r="12" spans="1:18" ht="15" thickBot="1" x14ac:dyDescent="0.4">
      <c r="A12" s="2"/>
      <c r="B12" s="13" t="s">
        <v>135</v>
      </c>
      <c r="C12" s="95"/>
      <c r="D12" s="2"/>
      <c r="E12" s="2"/>
      <c r="F12" s="2"/>
      <c r="G12" s="12"/>
      <c r="H12" t="s">
        <v>93</v>
      </c>
      <c r="I12" s="105">
        <v>3193</v>
      </c>
      <c r="J12" s="93" t="str">
        <f>IF(I12="","ï","")</f>
        <v/>
      </c>
      <c r="K12" s="187" t="s">
        <v>113</v>
      </c>
      <c r="L12" s="188"/>
      <c r="M12" s="234"/>
      <c r="N12" s="190"/>
      <c r="O12" s="2"/>
      <c r="R12" s="22"/>
    </row>
    <row r="13" spans="1:18" x14ac:dyDescent="0.35">
      <c r="A13" s="2"/>
      <c r="B13" s="13" t="s">
        <v>98</v>
      </c>
      <c r="C13" s="95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70"/>
      <c r="R13" s="22"/>
    </row>
    <row r="14" spans="1:18" x14ac:dyDescent="0.35">
      <c r="A14" s="2"/>
      <c r="B14" s="13" t="s">
        <v>2</v>
      </c>
      <c r="C14" s="96" t="s">
        <v>79</v>
      </c>
      <c r="D14" s="93" t="str">
        <f>IF(C14="","ï","")</f>
        <v/>
      </c>
      <c r="E14" s="2"/>
      <c r="F14" s="2"/>
      <c r="G14" s="12"/>
      <c r="H14" s="46" t="s">
        <v>155</v>
      </c>
      <c r="I14" s="150">
        <f>IF(M11&lt;&gt;"","",IF(M12&lt;&gt;"","",H20+H24+H28))</f>
        <v>87.17</v>
      </c>
      <c r="J14" s="151" t="str">
        <f>IF(I14="","",IF(I14&lt;=100,"OK","Vérifier A+B+B_bis"))</f>
        <v>OK</v>
      </c>
      <c r="K14" s="152">
        <f>IF(I14="","",I14/I15)</f>
        <v>0.94842780981394847</v>
      </c>
      <c r="L14" s="158"/>
      <c r="M14" s="151" t="s">
        <v>91</v>
      </c>
      <c r="N14" s="159"/>
      <c r="O14" s="2"/>
      <c r="R14" s="23"/>
    </row>
    <row r="15" spans="1:18" x14ac:dyDescent="0.35">
      <c r="A15" s="2"/>
      <c r="B15" s="13" t="s">
        <v>134</v>
      </c>
      <c r="C15" s="96" t="s">
        <v>138</v>
      </c>
      <c r="D15" s="93" t="str">
        <f>IF(C15="","ï","")</f>
        <v/>
      </c>
      <c r="E15" s="2"/>
      <c r="F15" s="2"/>
      <c r="G15" s="12"/>
      <c r="H15" s="44" t="s">
        <v>156</v>
      </c>
      <c r="I15" s="153">
        <f>IF(M11&lt;&gt;"","",IF(M12&lt;&gt;"","",H20+H24+H32+H28+H36))</f>
        <v>91.91</v>
      </c>
      <c r="J15" s="79" t="str">
        <f>IF(I15="","",IF(ABS(I11-I15)/I11&lt;0.05,"OK","Vérifier SHab"))</f>
        <v>OK</v>
      </c>
      <c r="K15" s="154">
        <f>IF(I15="","",G20+G24+G32+G28+G36)</f>
        <v>1</v>
      </c>
      <c r="L15" s="77"/>
      <c r="M15" s="160">
        <f>IF(OR(C14="",C15=""),"Précisez le PROJET",(1*H20+M47*H24+C47*H41+0.5*H28)/I11)</f>
        <v>0.88986587854636356</v>
      </c>
      <c r="N15" s="78"/>
      <c r="O15" s="2"/>
      <c r="R15" s="24"/>
    </row>
    <row r="16" spans="1:18" x14ac:dyDescent="0.35">
      <c r="A16" s="2"/>
      <c r="B16" s="13" t="s">
        <v>142</v>
      </c>
      <c r="C16" s="97">
        <v>0.6</v>
      </c>
      <c r="D16" s="93" t="str">
        <f>IF(C16="","ï","")</f>
        <v/>
      </c>
      <c r="E16" s="2"/>
      <c r="F16" s="2"/>
      <c r="G16" s="12"/>
      <c r="H16" s="45" t="s">
        <v>170</v>
      </c>
      <c r="I16" s="155">
        <f>IF(M11&lt;&gt;"","",IF(M12&lt;&gt;"","",SUM(H21,H25,H33,H29,H37)))</f>
        <v>3192</v>
      </c>
      <c r="J16" s="156" t="str">
        <f>IF(I12="","?",IF(I16="","",IF(ABS(I12-I16)/I12&lt;0.05,"OK","Vérifier Déperd.")))</f>
        <v>OK</v>
      </c>
      <c r="K16" s="157"/>
      <c r="L16" s="139"/>
      <c r="M16" s="161" t="str">
        <f>IF(M15="Précisez le PROJET","",IF(M15&gt;0.5,"bois en PRINCIPAL","bois en APPOINT"))</f>
        <v>bois en PRINCIPAL</v>
      </c>
      <c r="N16" s="157"/>
      <c r="O16" s="2"/>
      <c r="R16" s="24"/>
    </row>
    <row r="17" spans="1:18" ht="15" thickBot="1" x14ac:dyDescent="0.4">
      <c r="A17" s="2"/>
      <c r="B17" s="13" t="s">
        <v>94</v>
      </c>
      <c r="C17" s="98">
        <v>107.52</v>
      </c>
      <c r="D17" s="2"/>
      <c r="E17" s="2"/>
      <c r="F17" s="2"/>
      <c r="G17" s="12"/>
      <c r="H17" s="45"/>
      <c r="I17" s="2"/>
      <c r="J17" s="12"/>
      <c r="K17" s="2"/>
      <c r="L17" s="2"/>
      <c r="M17" s="2"/>
      <c r="N17" s="2"/>
      <c r="O17" s="2"/>
      <c r="R17" s="24"/>
    </row>
    <row r="18" spans="1:18" ht="15" thickBot="1" x14ac:dyDescent="0.4">
      <c r="A18" s="2"/>
      <c r="B18" s="2"/>
      <c r="C18" s="2"/>
      <c r="D18" s="2"/>
      <c r="E18" s="2"/>
      <c r="F18" s="2"/>
      <c r="G18" s="12"/>
      <c r="H18" s="2"/>
      <c r="I18" s="2"/>
      <c r="J18" s="2"/>
      <c r="K18" s="2"/>
      <c r="L18" s="2"/>
      <c r="M18" s="2"/>
      <c r="N18" s="2"/>
      <c r="O18" s="2"/>
    </row>
    <row r="19" spans="1:18" ht="15" thickBot="1" x14ac:dyDescent="0.4">
      <c r="A19" s="2"/>
      <c r="B19" s="9" t="s">
        <v>12</v>
      </c>
      <c r="C19" s="2"/>
      <c r="D19" s="2"/>
      <c r="E19" s="2"/>
      <c r="F19" s="2"/>
      <c r="G19" s="12" t="s">
        <v>90</v>
      </c>
      <c r="H19" s="13" t="s">
        <v>112</v>
      </c>
      <c r="I19" s="106" t="s">
        <v>88</v>
      </c>
      <c r="J19" s="107" t="s">
        <v>172</v>
      </c>
      <c r="K19" s="107" t="s">
        <v>173</v>
      </c>
      <c r="L19" s="107" t="s">
        <v>26</v>
      </c>
      <c r="M19" s="107" t="s">
        <v>26</v>
      </c>
      <c r="N19" s="108" t="s">
        <v>26</v>
      </c>
      <c r="O19" s="2"/>
    </row>
    <row r="20" spans="1:18" x14ac:dyDescent="0.35">
      <c r="A20" s="2"/>
      <c r="B20" s="13" t="s">
        <v>4</v>
      </c>
      <c r="C20" s="94"/>
      <c r="D20" s="2"/>
      <c r="E20" s="2"/>
      <c r="F20" s="2"/>
      <c r="G20" s="137">
        <f>H20/$I$11</f>
        <v>0.50429768251550433</v>
      </c>
      <c r="H20" s="141">
        <f>SUM(I20:N20)</f>
        <v>46.35</v>
      </c>
      <c r="I20" s="109">
        <v>1.95</v>
      </c>
      <c r="J20" s="110">
        <v>39.28</v>
      </c>
      <c r="K20" s="110">
        <v>5.12</v>
      </c>
      <c r="L20" s="110"/>
      <c r="M20" s="110"/>
      <c r="N20" s="111"/>
      <c r="O20" s="2"/>
    </row>
    <row r="21" spans="1:18" ht="15" thickBot="1" x14ac:dyDescent="0.4">
      <c r="A21" s="2"/>
      <c r="B21" s="13" t="s">
        <v>5</v>
      </c>
      <c r="C21" s="95"/>
      <c r="D21" s="21"/>
      <c r="E21" s="2"/>
      <c r="F21" s="2"/>
      <c r="G21" s="138"/>
      <c r="H21" s="142">
        <f>SUM(I21:N21)</f>
        <v>1597</v>
      </c>
      <c r="I21" s="112"/>
      <c r="J21" s="113">
        <v>1597</v>
      </c>
      <c r="K21" s="113"/>
      <c r="L21" s="113"/>
      <c r="M21" s="113"/>
      <c r="N21" s="114"/>
      <c r="O21" s="2"/>
    </row>
    <row r="22" spans="1:18" ht="15" thickBot="1" x14ac:dyDescent="0.4">
      <c r="A22" s="2"/>
      <c r="B22" s="13" t="s">
        <v>143</v>
      </c>
      <c r="C22" s="95" t="s">
        <v>96</v>
      </c>
      <c r="D22" s="21"/>
      <c r="E22" s="2"/>
      <c r="F22" s="2"/>
      <c r="G22" s="12"/>
      <c r="H22" s="2"/>
      <c r="I22" s="2"/>
      <c r="J22" s="2"/>
      <c r="K22" s="2"/>
      <c r="L22" s="2"/>
      <c r="M22" s="2"/>
      <c r="N22" s="2"/>
      <c r="O22" s="2"/>
    </row>
    <row r="23" spans="1:18" x14ac:dyDescent="0.35">
      <c r="A23" s="2"/>
      <c r="B23" s="13" t="s">
        <v>144</v>
      </c>
      <c r="C23" s="99">
        <v>0.9</v>
      </c>
      <c r="D23" s="21"/>
      <c r="E23" s="2"/>
      <c r="F23" s="2"/>
      <c r="G23" s="12" t="s">
        <v>90</v>
      </c>
      <c r="H23" s="13" t="s">
        <v>111</v>
      </c>
      <c r="I23" s="106" t="s">
        <v>86</v>
      </c>
      <c r="J23" s="107" t="s">
        <v>29</v>
      </c>
      <c r="K23" s="107" t="s">
        <v>28</v>
      </c>
      <c r="L23" s="108" t="s">
        <v>26</v>
      </c>
      <c r="M23" s="182" t="s">
        <v>92</v>
      </c>
      <c r="N23" s="183"/>
      <c r="O23" s="2"/>
    </row>
    <row r="24" spans="1:18" x14ac:dyDescent="0.35">
      <c r="A24" s="2"/>
      <c r="B24" s="13" t="s">
        <v>145</v>
      </c>
      <c r="C24" s="100">
        <v>6</v>
      </c>
      <c r="D24" s="93" t="str">
        <f>IF(C24="","ï","")</f>
        <v/>
      </c>
      <c r="E24" s="2"/>
      <c r="F24" s="2"/>
      <c r="G24" s="137">
        <f>H24/$I$11</f>
        <v>0.36263736263736263</v>
      </c>
      <c r="H24" s="141">
        <f>SUM(I24:L24)</f>
        <v>33.33</v>
      </c>
      <c r="I24" s="109">
        <v>11.24</v>
      </c>
      <c r="J24" s="110">
        <v>11.2</v>
      </c>
      <c r="K24" s="110">
        <v>10.89</v>
      </c>
      <c r="L24" s="111"/>
      <c r="M24" s="184"/>
      <c r="N24" s="185"/>
      <c r="O24" s="2"/>
    </row>
    <row r="25" spans="1:18" ht="15" thickBot="1" x14ac:dyDescent="0.4">
      <c r="A25" s="2"/>
      <c r="B25" s="13" t="s">
        <v>76</v>
      </c>
      <c r="C25" s="101">
        <v>165</v>
      </c>
      <c r="D25" s="93" t="str">
        <f>IF(C25="","ï","")</f>
        <v/>
      </c>
      <c r="E25" s="2"/>
      <c r="F25" s="2"/>
      <c r="G25" s="140"/>
      <c r="H25" s="142">
        <f>SUM(I25:L25)</f>
        <v>1284</v>
      </c>
      <c r="I25" s="115">
        <v>420</v>
      </c>
      <c r="J25" s="116">
        <v>389</v>
      </c>
      <c r="K25" s="116">
        <v>475</v>
      </c>
      <c r="L25" s="162"/>
      <c r="M25" s="117" t="s">
        <v>123</v>
      </c>
      <c r="N25" s="118"/>
      <c r="O25" s="2"/>
    </row>
    <row r="26" spans="1:18" ht="15" thickBot="1" x14ac:dyDescent="0.4">
      <c r="A26" s="2"/>
      <c r="B26" s="2" t="s">
        <v>40</v>
      </c>
      <c r="C26" s="2"/>
      <c r="D26" s="2"/>
      <c r="E26" s="2"/>
      <c r="F26" s="2"/>
      <c r="G26" s="12"/>
      <c r="H26" s="2"/>
      <c r="I26" s="2"/>
      <c r="J26" s="2"/>
      <c r="K26" s="2"/>
      <c r="L26" s="2"/>
      <c r="M26" s="2"/>
      <c r="N26" s="2"/>
      <c r="O26" s="2"/>
    </row>
    <row r="27" spans="1:18" ht="15" customHeight="1" x14ac:dyDescent="0.35">
      <c r="A27" s="2"/>
      <c r="B27" s="2"/>
      <c r="C27" s="2"/>
      <c r="D27" s="2"/>
      <c r="E27" s="2"/>
      <c r="F27" s="2"/>
      <c r="G27" s="12" t="s">
        <v>90</v>
      </c>
      <c r="H27" s="13" t="s">
        <v>110</v>
      </c>
      <c r="I27" s="106" t="s">
        <v>0</v>
      </c>
      <c r="J27" s="107" t="s">
        <v>87</v>
      </c>
      <c r="K27" s="108" t="s">
        <v>26</v>
      </c>
      <c r="L27" s="2"/>
      <c r="M27" s="2"/>
      <c r="N27" s="2"/>
      <c r="O27" s="2"/>
    </row>
    <row r="28" spans="1:18" ht="15" thickBot="1" x14ac:dyDescent="0.4">
      <c r="A28" s="2"/>
      <c r="B28" s="9" t="s">
        <v>6</v>
      </c>
      <c r="C28" s="178" t="str">
        <f>IF(C15="Double Flux","Choisir ALLIANCE","")</f>
        <v/>
      </c>
      <c r="D28" s="2"/>
      <c r="E28" s="2"/>
      <c r="F28" s="2"/>
      <c r="G28" s="137">
        <f>H28/$I$11</f>
        <v>8.1492764661081504E-2</v>
      </c>
      <c r="H28" s="141">
        <f>SUM(I28:N28)</f>
        <v>7.49</v>
      </c>
      <c r="I28" s="109">
        <v>6.26</v>
      </c>
      <c r="J28" s="110">
        <v>1.23</v>
      </c>
      <c r="K28" s="111"/>
      <c r="L28" s="2"/>
      <c r="M28" s="2"/>
      <c r="N28" s="2"/>
      <c r="O28" s="2"/>
    </row>
    <row r="29" spans="1:18" ht="15" thickBot="1" x14ac:dyDescent="0.4">
      <c r="A29" s="2"/>
      <c r="B29" s="13" t="s">
        <v>7</v>
      </c>
      <c r="C29" s="102" t="s">
        <v>8</v>
      </c>
      <c r="D29" s="93" t="str">
        <f>IF(C29="","ï","")</f>
        <v/>
      </c>
      <c r="E29" s="2"/>
      <c r="F29" s="2"/>
      <c r="G29" s="139"/>
      <c r="H29" s="142">
        <f>SUM(I29:N29)</f>
        <v>184</v>
      </c>
      <c r="I29" s="112">
        <v>172</v>
      </c>
      <c r="J29" s="113">
        <v>12</v>
      </c>
      <c r="K29" s="114"/>
      <c r="L29" s="2"/>
      <c r="M29" s="2"/>
      <c r="N29" s="2"/>
      <c r="O29" s="2"/>
    </row>
    <row r="30" spans="1:18" ht="15" thickBot="1" x14ac:dyDescent="0.4">
      <c r="A30" s="2"/>
      <c r="B30" s="13" t="s">
        <v>16</v>
      </c>
      <c r="C30" s="96" t="s">
        <v>15</v>
      </c>
      <c r="D30" s="93" t="str">
        <f>IF(C30="","ï","")</f>
        <v/>
      </c>
      <c r="E30" s="2"/>
      <c r="F30" s="2"/>
      <c r="G30" s="12"/>
      <c r="H30" s="2"/>
      <c r="I30" s="20"/>
      <c r="J30" s="2"/>
      <c r="K30" s="2"/>
      <c r="L30" s="2"/>
      <c r="M30" s="2"/>
      <c r="N30" s="2"/>
      <c r="O30" s="2"/>
    </row>
    <row r="31" spans="1:18" ht="15" customHeight="1" x14ac:dyDescent="0.35">
      <c r="A31" s="2"/>
      <c r="B31" s="13" t="s">
        <v>174</v>
      </c>
      <c r="C31" s="96" t="s">
        <v>177</v>
      </c>
      <c r="D31" s="69" t="str">
        <f>IF(C31="","Précisez",IF(C31="NON","",IF(C29="ALLIANCE","","DACR")))</f>
        <v>DACR</v>
      </c>
      <c r="E31" s="2"/>
      <c r="F31" s="2"/>
      <c r="G31" s="12" t="s">
        <v>90</v>
      </c>
      <c r="H31" s="15" t="s">
        <v>149</v>
      </c>
      <c r="I31" s="106" t="s">
        <v>26</v>
      </c>
      <c r="J31" s="108"/>
      <c r="K31" s="143" t="s">
        <v>146</v>
      </c>
      <c r="L31" s="144"/>
      <c r="M31" s="144"/>
      <c r="N31" s="145"/>
      <c r="O31" s="2"/>
    </row>
    <row r="32" spans="1:18" ht="15" thickBot="1" x14ac:dyDescent="0.4">
      <c r="A32" s="2"/>
      <c r="B32" s="13" t="s">
        <v>175</v>
      </c>
      <c r="C32" s="103">
        <v>1200</v>
      </c>
      <c r="D32" s="2"/>
      <c r="E32" s="2"/>
      <c r="F32" s="2"/>
      <c r="G32" s="137">
        <f>H32/$I$11</f>
        <v>0</v>
      </c>
      <c r="H32" s="141">
        <f>SUM(I32:L32)</f>
        <v>0</v>
      </c>
      <c r="I32" s="109"/>
      <c r="J32" s="111"/>
      <c r="K32" s="146" t="s">
        <v>92</v>
      </c>
      <c r="L32" s="58"/>
      <c r="M32" s="58"/>
      <c r="N32" s="147"/>
      <c r="O32" s="2"/>
    </row>
    <row r="33" spans="1:15" ht="15" thickBot="1" x14ac:dyDescent="0.4">
      <c r="A33" s="2"/>
      <c r="B33" s="2"/>
      <c r="C33" s="121" t="str">
        <f>IF(AND(C32="",C31="BOOSTY"),"Choisir Puissance",IF(AND(C32&lt;&gt;"",C31="NON"),"Retirer Puissance",IF(AND(C32="",C31="BOOSTY"),"Choisir Puissance","")))</f>
        <v/>
      </c>
      <c r="D33" s="2"/>
      <c r="E33" s="2"/>
      <c r="F33" s="2"/>
      <c r="G33" s="140"/>
      <c r="H33" s="142">
        <f>SUM(I33:L33)</f>
        <v>0</v>
      </c>
      <c r="I33" s="112"/>
      <c r="J33" s="114"/>
      <c r="K33" s="117" t="s">
        <v>124</v>
      </c>
      <c r="L33" s="148"/>
      <c r="M33" s="148"/>
      <c r="N33" s="149"/>
      <c r="O33" s="2"/>
    </row>
    <row r="34" spans="1:15" ht="15" thickBot="1" x14ac:dyDescent="0.4">
      <c r="A34" s="2"/>
      <c r="B34" s="13" t="s">
        <v>141</v>
      </c>
      <c r="C34" s="122">
        <f>IF(OR(C16="",C16&gt;1),IF(C15="SF Auto",Paramètres!C41,IF(C15="SF Hygro A",Paramètres!D41,IF(C15="SF Hygro B",Paramètres!E41,IF(C15="Double Flux",Paramètres!F41,"")))),IF(C15="Double Flux",Paramètres!F44,Paramètres!H44))</f>
        <v>55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13" t="s">
        <v>41</v>
      </c>
      <c r="C35" s="123">
        <f>IF(M11&lt;&gt;"",M11,COUNT(I24:L24,I32:J32))</f>
        <v>3</v>
      </c>
      <c r="D35" s="2"/>
      <c r="E35" s="2"/>
      <c r="F35" s="2"/>
      <c r="G35" s="12" t="s">
        <v>90</v>
      </c>
      <c r="H35" s="13" t="s">
        <v>125</v>
      </c>
      <c r="I35" s="106" t="s">
        <v>27</v>
      </c>
      <c r="J35" s="107" t="s">
        <v>26</v>
      </c>
      <c r="K35" s="107" t="s">
        <v>26</v>
      </c>
      <c r="L35" s="108" t="s">
        <v>26</v>
      </c>
      <c r="M35" s="179"/>
      <c r="N35" s="179"/>
      <c r="O35" s="2"/>
    </row>
    <row r="36" spans="1:15" x14ac:dyDescent="0.35">
      <c r="A36" s="2"/>
      <c r="B36" s="2" t="s">
        <v>42</v>
      </c>
      <c r="C36" s="2"/>
      <c r="D36" s="2"/>
      <c r="E36" s="2"/>
      <c r="F36" s="2"/>
      <c r="G36" s="137">
        <f>H36/$I$11</f>
        <v>5.1572190186051574E-2</v>
      </c>
      <c r="H36" s="141">
        <f>SUM(I36:L36)</f>
        <v>4.74</v>
      </c>
      <c r="I36" s="109">
        <v>4.74</v>
      </c>
      <c r="J36" s="110"/>
      <c r="K36" s="110"/>
      <c r="L36" s="111"/>
      <c r="M36" s="179"/>
      <c r="N36" s="179"/>
      <c r="O36" s="2"/>
    </row>
    <row r="37" spans="1:15" ht="15" thickBot="1" x14ac:dyDescent="0.4">
      <c r="A37" s="2"/>
      <c r="B37" s="2"/>
      <c r="C37" s="2"/>
      <c r="D37" s="2"/>
      <c r="E37" s="2"/>
      <c r="F37" s="2"/>
      <c r="G37" s="139"/>
      <c r="H37" s="142">
        <f>SUM(I37:N37)</f>
        <v>127</v>
      </c>
      <c r="I37" s="112">
        <v>127</v>
      </c>
      <c r="J37" s="113"/>
      <c r="K37" s="113"/>
      <c r="L37" s="114"/>
      <c r="M37" s="2"/>
      <c r="N37" s="2"/>
      <c r="O37" s="2"/>
    </row>
    <row r="38" spans="1:15" ht="15" thickBot="1" x14ac:dyDescent="0.4">
      <c r="A38" s="2"/>
      <c r="B38" s="2" t="s">
        <v>69</v>
      </c>
      <c r="C38" s="235">
        <f>IF(C29="CONFORT+",IF(C35=1,Paramètres!C55,IF(C35=2,Paramètres!D55,IF(C35=3,Paramètres!E55,IF(C35=4,Paramètres!F55,"")))),"")</f>
        <v>30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ht="15" thickBot="1" x14ac:dyDescent="0.4">
      <c r="A39" s="2"/>
      <c r="B39" s="2" t="s">
        <v>73</v>
      </c>
      <c r="C39" s="23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 t="s">
        <v>74</v>
      </c>
      <c r="C40" s="176" t="str">
        <f>IF(C29="SUNWOOD",Paramètres!C26*Paramètres!C28,"")</f>
        <v/>
      </c>
      <c r="D40" s="2"/>
      <c r="E40" s="2"/>
      <c r="F40" s="2"/>
      <c r="G40" s="12"/>
      <c r="H40" s="47" t="s">
        <v>100</v>
      </c>
      <c r="I40" s="2"/>
      <c r="J40" s="2"/>
      <c r="K40" s="80" t="str">
        <f>IF(C31="NON","Pas de distribution d'air chaud régulée (DACR)","Taux de l'émetteur Bois+DACR en zone B et Ratem_t associé")</f>
        <v>Taux de l'émetteur Bois+DACR en zone B et Ratem_t associé</v>
      </c>
      <c r="L40" s="81"/>
      <c r="M40" s="81"/>
      <c r="N40" s="82"/>
      <c r="O40" s="2"/>
    </row>
    <row r="41" spans="1:15" ht="16.5" x14ac:dyDescent="0.45">
      <c r="A41" s="2"/>
      <c r="B41" s="2"/>
      <c r="C41" s="2"/>
      <c r="D41" s="2"/>
      <c r="E41" s="2"/>
      <c r="F41" s="2"/>
      <c r="G41" s="14"/>
      <c r="H41" s="132">
        <f>IF(M12&lt;&gt;"",M12,H24+H32)</f>
        <v>33.33</v>
      </c>
      <c r="I41" s="186" t="str">
        <f>IF(H42=H41*I12/I11,"Etude GLOBALE","")</f>
        <v/>
      </c>
      <c r="J41" s="2"/>
      <c r="K41" s="83" t="s">
        <v>164</v>
      </c>
      <c r="L41" s="79" t="s">
        <v>165</v>
      </c>
      <c r="M41" s="62" t="s">
        <v>163</v>
      </c>
      <c r="N41" s="84" t="s">
        <v>162</v>
      </c>
      <c r="O41" s="2"/>
    </row>
    <row r="42" spans="1:15" x14ac:dyDescent="0.35">
      <c r="A42" s="2"/>
      <c r="B42" s="9" t="s">
        <v>31</v>
      </c>
      <c r="C42" s="2"/>
      <c r="D42" s="2"/>
      <c r="E42" s="2"/>
      <c r="F42" s="2"/>
      <c r="G42" s="14"/>
      <c r="H42" s="133">
        <f>IF(M11&lt;&gt;"",H41*I12/I11,IF(H25+H33=0,"Renseigner les déperditions",IF(J16="?",H25+H33,IF(J16="OK",H25+H33,IF(AND(H25&lt;&gt;0,J16&lt;&gt;"OK"),"Vérifier la somme des déperditions")))))</f>
        <v>1284</v>
      </c>
      <c r="I42" s="186"/>
      <c r="J42" s="2"/>
      <c r="K42" s="85">
        <f>C35*C34</f>
        <v>165</v>
      </c>
      <c r="L42" s="177">
        <f>IF(C29="ALLIANCE",0,6)</f>
        <v>6</v>
      </c>
      <c r="M42" s="63">
        <f>IF(C34&lt;&gt;"",0.34*K42*L42,"")</f>
        <v>336.6</v>
      </c>
      <c r="N42" s="86">
        <f>M42/H42</f>
        <v>0.26214953271028041</v>
      </c>
      <c r="O42" s="2"/>
    </row>
    <row r="43" spans="1:15" x14ac:dyDescent="0.35">
      <c r="A43" s="2"/>
      <c r="B43" s="13" t="s">
        <v>17</v>
      </c>
      <c r="C43" s="124">
        <f>IF(C30="Ech TI",IF(AND(C24&lt;=12,C24&gt;8),Paramètres!G15,IF(AND(C24&lt;=8,C24&gt;=6),Paramètres!E15,IF(AND(C24&lt;6,C24&gt;=3),Paramètres!C15,"no"))),IF(C30="Ech IG",IF(AND(C24&lt;=12,C24&gt;8),Paramètres!G16,IF(AND(C24&lt;=8,C24&gt;=6),Paramètres!E16,IF(AND(C24&lt;6,C24&gt;=3),Paramètres!C16,"no"))),IF(C30="Ech PGI",IF(AND(C24&lt;=12,C24&gt;8),Paramètres!G17,IF(AND(C24&lt;=8,C24&gt;=6),Paramètres!E17,IF(AND(C24&lt;6,C24&gt;=3),Paramètres!C17,"no"))),"")))</f>
        <v>2.9239999999999999</v>
      </c>
      <c r="D43" s="2"/>
      <c r="E43" s="2"/>
      <c r="F43" s="2"/>
      <c r="G43" s="2"/>
      <c r="H43" s="2"/>
      <c r="I43" s="2"/>
      <c r="J43" s="12"/>
      <c r="K43" s="87"/>
      <c r="L43" s="58"/>
      <c r="M43" s="58"/>
      <c r="N43" s="86"/>
      <c r="O43" s="2"/>
    </row>
    <row r="44" spans="1:15" ht="16.5" customHeight="1" x14ac:dyDescent="0.35">
      <c r="A44" s="2"/>
      <c r="B44" s="13" t="s">
        <v>18</v>
      </c>
      <c r="C44" s="125">
        <f>IF(C30="Ech TI",IF(AND(C24&lt;=12,C24&gt;8),Paramètres!H15,IF(AND(C24&lt;=8,C24&gt;=6),Paramètres!F15,IF(AND(C24&lt;6,C24&gt;=3),Paramètres!D15,"no"))),IF(C30="Ech IG",IF(AND(C24&lt;=12,C24&gt;8),Paramètres!H16,IF(AND(C24&lt;=8,C24&gt;=6),Paramètres!F16,IF(AND(C24&lt;6,C24&gt;=3),Paramètres!D16,"no"))),IF(C30="Ech PGI",IF(AND(C24&lt;=12,C24&gt;8),Paramètres!H17,IF(AND(C24&lt;=8,C24&gt;=6),Paramètres!F17,IF(AND(C24&lt;6,C24&gt;=3),Paramètres!D17,"no"))),"")))</f>
        <v>147.5</v>
      </c>
      <c r="D44" s="2"/>
      <c r="E44" s="2"/>
      <c r="F44" s="2"/>
      <c r="G44" s="2"/>
      <c r="H44" s="15" t="s">
        <v>178</v>
      </c>
      <c r="I44" s="12"/>
      <c r="J44" s="12"/>
      <c r="K44" s="194" t="s">
        <v>168</v>
      </c>
      <c r="L44" s="195"/>
      <c r="M44" s="171" t="s">
        <v>166</v>
      </c>
      <c r="N44" s="196">
        <f>0.3+M42/H42</f>
        <v>0.56214953271028034</v>
      </c>
      <c r="O44" s="2"/>
    </row>
    <row r="45" spans="1:15" ht="16.5" x14ac:dyDescent="0.45">
      <c r="A45" s="2"/>
      <c r="B45" s="13" t="s">
        <v>70</v>
      </c>
      <c r="C45" s="126">
        <f>(C43*C25-C44)/1000</f>
        <v>0.33495999999999998</v>
      </c>
      <c r="D45" s="2"/>
      <c r="E45" s="2"/>
      <c r="F45" s="2"/>
      <c r="G45" s="2"/>
      <c r="H45" s="134">
        <f>IF(C31="BOOSTY",C32+C45*1000+M42,C45*1000+M42)</f>
        <v>1871.56</v>
      </c>
      <c r="I45" s="180" t="str">
        <f>IF(C31="NON","Pas de BOOSTY","")</f>
        <v/>
      </c>
      <c r="J45" s="27"/>
      <c r="K45" s="194"/>
      <c r="L45" s="195"/>
      <c r="M45" s="172" t="s">
        <v>167</v>
      </c>
      <c r="N45" s="196"/>
      <c r="O45" s="2"/>
    </row>
    <row r="46" spans="1:15" x14ac:dyDescent="0.35">
      <c r="A46" s="2"/>
      <c r="B46" s="13" t="s">
        <v>71</v>
      </c>
      <c r="C46" s="127">
        <f>IF(H41&lt;&gt;0,H41/I11)</f>
        <v>0.36263736263736263</v>
      </c>
      <c r="D46" s="2"/>
      <c r="E46" s="2"/>
      <c r="F46" s="2"/>
      <c r="G46" s="2"/>
      <c r="H46" s="135" t="str">
        <f>IF(AND(C31="NON",H47&lt;0),"Veuillez ajouter un appoint régulé BOOSTY",IF(AND(H42-C45*1000&gt;0,C32=""),"Veuillez ajouter un appoint régulé BOOSTY",IF(H45-H42&lt;0,"Retenir de préférence une puissance plus importante pour BOOSTY",IF(AND(C32=1800,H45-H42&gt;600),"Retenir de préférence une puissance de 1200 W pour BOOSTY",IF(C31="NON","OK, pas besoin d'appoint BOOSTY","OK pour dimensionnement BOOSTY")))))</f>
        <v>OK pour dimensionnement BOOSTY</v>
      </c>
      <c r="I46" s="180"/>
      <c r="J46" s="27"/>
      <c r="K46" s="173"/>
      <c r="L46" s="174"/>
      <c r="M46" s="172"/>
      <c r="N46" s="88"/>
      <c r="O46" s="2"/>
    </row>
    <row r="47" spans="1:15" x14ac:dyDescent="0.35">
      <c r="A47" s="2"/>
      <c r="B47" s="13" t="s">
        <v>72</v>
      </c>
      <c r="C47" s="128">
        <f>C45/(H42/1000)</f>
        <v>0.26087227414330216</v>
      </c>
      <c r="D47" s="2"/>
      <c r="E47" s="2"/>
      <c r="F47" s="2"/>
      <c r="G47" s="2"/>
      <c r="H47" s="136">
        <f>IF(C32&lt;&gt;"",H45-H42,"")</f>
        <v>587.55999999999995</v>
      </c>
      <c r="I47" s="180"/>
      <c r="J47" s="27"/>
      <c r="K47" s="173"/>
      <c r="L47" s="175" t="s">
        <v>169</v>
      </c>
      <c r="M47" s="92">
        <f>IF(C31="",0.5,IF(C31="NON",0.5,IF(C14="H3",IF(N44&gt;=0.8,Paramètres!C35,IF(N44&gt;=0.6,Paramètres!D35,IF(N44&gt;=0.4,Paramètres!E35,0.5))),IF(C14&lt;&gt;"",IF(N44&gt;=0.8,Paramètres!C33,IF(N44&gt;=0.6,Paramètres!D33,IF(N44&gt;=0.4,Paramètres!E33,0.5))),"Précisez la zone climatique"))))</f>
        <v>0.69</v>
      </c>
      <c r="N47" s="88"/>
      <c r="O47" s="2"/>
    </row>
    <row r="48" spans="1:15" ht="15" thickBot="1" x14ac:dyDescent="0.4">
      <c r="A48" s="2"/>
      <c r="B48" s="13" t="s">
        <v>75</v>
      </c>
      <c r="C48" s="129">
        <f>IF(C29="CONFORT+",1.1*C38,IF(C29="ALLIANCE",IF(C39=0,"Renseignez C39",1.1*C39),IF(C29="SUNWOOD",1.1*C40,"")))</f>
        <v>33</v>
      </c>
      <c r="D48" s="2"/>
      <c r="E48" s="2"/>
      <c r="F48" s="2"/>
      <c r="G48" s="2"/>
      <c r="I48" s="28"/>
      <c r="J48" s="27"/>
      <c r="K48" s="89"/>
      <c r="L48" s="90"/>
      <c r="M48" s="90"/>
      <c r="N48" s="91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7"/>
      <c r="L49" s="2"/>
      <c r="M49" s="2"/>
      <c r="N49" s="2"/>
      <c r="O49" s="2"/>
    </row>
  </sheetData>
  <sheetProtection algorithmName="SHA-512" hashValue="nEIR1tsjiOqvKvt75y+Ihn/m+TkxKZgpk50DTcjGDztI8vPNV33gzNITm+rz2BieR+scj3dxoM0cg0R0AomIng==" saltValue="mwJYIgyRJSZDv51/UljN9w==" spinCount="100000" sheet="1" selectLockedCells="1"/>
  <mergeCells count="10">
    <mergeCell ref="M35:N36"/>
    <mergeCell ref="I45:I47"/>
    <mergeCell ref="B1:H1"/>
    <mergeCell ref="M23:N24"/>
    <mergeCell ref="I41:I42"/>
    <mergeCell ref="K12:L12"/>
    <mergeCell ref="N11:N12"/>
    <mergeCell ref="K9:N9"/>
    <mergeCell ref="K44:L45"/>
    <mergeCell ref="N44:N45"/>
  </mergeCells>
  <conditionalFormatting sqref="J15">
    <cfRule type="containsText" dxfId="21" priority="18" operator="containsText" text="OK">
      <formula>NOT(ISERROR(SEARCH("OK",J15)))</formula>
    </cfRule>
    <cfRule type="containsText" dxfId="20" priority="19" operator="containsText" text="Vérifier SHab">
      <formula>NOT(ISERROR(SEARCH("Vérifier SHab",J15)))</formula>
    </cfRule>
  </conditionalFormatting>
  <conditionalFormatting sqref="J14">
    <cfRule type="containsText" dxfId="19" priority="16" operator="containsText" text="OK">
      <formula>NOT(ISERROR(SEARCH("OK",J14)))</formula>
    </cfRule>
    <cfRule type="containsText" dxfId="18" priority="17" operator="containsText" text="Vérifier A+B">
      <formula>NOT(ISERROR(SEARCH("Vérifier A+B",J14)))</formula>
    </cfRule>
  </conditionalFormatting>
  <conditionalFormatting sqref="H47">
    <cfRule type="cellIs" dxfId="17" priority="15" operator="lessThan">
      <formula>0</formula>
    </cfRule>
  </conditionalFormatting>
  <conditionalFormatting sqref="H46">
    <cfRule type="containsText" dxfId="16" priority="12" operator="containsText" text="ajouter">
      <formula>NOT(ISERROR(SEARCH("ajouter",H46)))</formula>
    </cfRule>
    <cfRule type="containsText" dxfId="15" priority="13" operator="containsText" text="OK">
      <formula>NOT(ISERROR(SEARCH("OK",H46)))</formula>
    </cfRule>
    <cfRule type="containsText" dxfId="14" priority="14" operator="containsText" text="puissance">
      <formula>NOT(ISERROR(SEARCH("puissance",H46)))</formula>
    </cfRule>
  </conditionalFormatting>
  <conditionalFormatting sqref="M16">
    <cfRule type="containsText" dxfId="13" priority="8" operator="containsText" text="PRINCIPAL">
      <formula>NOT(ISERROR(SEARCH("PRINCIPAL",M16)))</formula>
    </cfRule>
    <cfRule type="containsText" dxfId="12" priority="9" operator="containsText" text="APPOINT">
      <formula>NOT(ISERROR(SEARCH("APPOINT",M16)))</formula>
    </cfRule>
    <cfRule type="containsText" dxfId="11" priority="10" operator="containsText" text="OK">
      <formula>NOT(ISERROR(SEARCH("OK",M16)))</formula>
    </cfRule>
    <cfRule type="containsText" dxfId="10" priority="11" operator="containsText" text="Vérifier SHab">
      <formula>NOT(ISERROR(SEARCH("Vérifier SHab",M16)))</formula>
    </cfRule>
  </conditionalFormatting>
  <conditionalFormatting sqref="J16:J17">
    <cfRule type="containsText" dxfId="9" priority="6" operator="containsText" text="OK">
      <formula>NOT(ISERROR(SEARCH("OK",J16)))</formula>
    </cfRule>
    <cfRule type="containsText" dxfId="8" priority="7" operator="containsText" text="Vérifier SHab">
      <formula>NOT(ISERROR(SEARCH("Vérifier SHab",J16)))</formula>
    </cfRule>
  </conditionalFormatting>
  <conditionalFormatting sqref="C31">
    <cfRule type="expression" dxfId="7" priority="2">
      <formula>$C$31="NON"</formula>
    </cfRule>
  </conditionalFormatting>
  <conditionalFormatting sqref="K40 I45 M47">
    <cfRule type="expression" dxfId="6" priority="24">
      <formula>$C$31="NON"</formula>
    </cfRule>
  </conditionalFormatting>
  <conditionalFormatting sqref="K41:N45">
    <cfRule type="expression" dxfId="5" priority="27">
      <formula>$C$31="NON"</formula>
    </cfRule>
  </conditionalFormatting>
  <conditionalFormatting sqref="N42:N43">
    <cfRule type="expression" dxfId="4" priority="1">
      <formula>$C$31="NON"</formula>
    </cfRule>
  </conditionalFormatting>
  <conditionalFormatting sqref="L47:M47">
    <cfRule type="expression" dxfId="3" priority="30">
      <formula>$M$47&gt;0.5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87" orientation="landscape" r:id="rId1"/>
  <ignoredErrors>
    <ignoredError sqref="C38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Paramètres!$B$15:$B$17</xm:f>
          </x14:formula1>
          <xm:sqref>C30</xm:sqref>
        </x14:dataValidation>
        <x14:dataValidation type="list" allowBlank="1" showInputMessage="1" showErrorMessage="1">
          <x14:formula1>
            <xm:f>Paramètres!$B$3:$B$7</xm:f>
          </x14:formula1>
          <xm:sqref>C22</xm:sqref>
        </x14:dataValidation>
        <x14:dataValidation type="list" allowBlank="1" showInputMessage="1" showErrorMessage="1">
          <x14:formula1>
            <xm:f>Paramètres!$B$9:$B$11</xm:f>
          </x14:formula1>
          <xm:sqref>C29</xm:sqref>
        </x14:dataValidation>
        <x14:dataValidation type="list" allowBlank="1" showInputMessage="1" showErrorMessage="1">
          <x14:formula1>
            <xm:f>Paramètres!$B$21:$B$23</xm:f>
          </x14:formula1>
          <xm:sqref>C31</xm:sqref>
        </x14:dataValidation>
        <x14:dataValidation type="list" allowBlank="1" showInputMessage="1" showErrorMessage="1">
          <x14:formula1>
            <xm:f>Paramètres!$C$21:$C$23</xm:f>
          </x14:formula1>
          <xm:sqref>C32</xm:sqref>
        </x14:dataValidation>
        <x14:dataValidation type="list" allowBlank="1" showInputMessage="1" showErrorMessage="1">
          <x14:formula1>
            <xm:f>Paramètres!$J$3:$J$10</xm:f>
          </x14:formula1>
          <xm:sqref>C14</xm:sqref>
        </x14:dataValidation>
        <x14:dataValidation type="list" allowBlank="1" showInputMessage="1" showErrorMessage="1">
          <x14:formula1>
            <xm:f>Paramètres!$C$40:$F$40</xm:f>
          </x14:formula1>
          <xm:sqref>C15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5"/>
  <sheetViews>
    <sheetView zoomScale="85" zoomScaleNormal="85" zoomScaleSheetLayoutView="80" workbookViewId="0">
      <selection activeCell="D13" sqref="D13"/>
    </sheetView>
  </sheetViews>
  <sheetFormatPr baseColWidth="10" defaultColWidth="10.81640625" defaultRowHeight="14.5" x14ac:dyDescent="0.35"/>
  <cols>
    <col min="1" max="1" width="2.90625" style="2" customWidth="1"/>
    <col min="2" max="2" width="28.26953125" style="2" customWidth="1"/>
    <col min="3" max="3" width="16.81640625" style="2" customWidth="1"/>
    <col min="4" max="4" width="17.453125" style="2" customWidth="1"/>
    <col min="5" max="5" width="17.1796875" style="2" customWidth="1"/>
    <col min="6" max="6" width="16.7265625" style="2" customWidth="1"/>
    <col min="7" max="7" width="16.81640625" style="2" customWidth="1"/>
    <col min="8" max="8" width="17.54296875" style="2" customWidth="1"/>
    <col min="9" max="9" width="16.26953125" style="2" customWidth="1"/>
    <col min="10" max="10" width="20.08984375" style="2" customWidth="1"/>
    <col min="11" max="11" width="19.7265625" style="2" customWidth="1"/>
    <col min="12" max="12" width="2.90625" style="2" customWidth="1"/>
    <col min="13" max="16384" width="10.81640625" style="2"/>
  </cols>
  <sheetData>
    <row r="1" spans="2:11" ht="15" thickBot="1" x14ac:dyDescent="0.4"/>
    <row r="2" spans="2:11" ht="43.15" customHeight="1" x14ac:dyDescent="0.35">
      <c r="B2" s="25" t="s">
        <v>65</v>
      </c>
      <c r="C2" s="199" t="s">
        <v>119</v>
      </c>
      <c r="D2" s="207"/>
      <c r="E2" s="200"/>
      <c r="F2" s="199" t="s">
        <v>118</v>
      </c>
      <c r="G2" s="218"/>
      <c r="H2" s="218"/>
      <c r="I2" s="219"/>
      <c r="J2" s="199" t="s">
        <v>126</v>
      </c>
      <c r="K2" s="200"/>
    </row>
    <row r="3" spans="2:11" ht="18.399999999999999" customHeight="1" thickBot="1" x14ac:dyDescent="0.4">
      <c r="B3" s="17">
        <f>'TitreV Conduit Ech'!I15</f>
        <v>91.91</v>
      </c>
      <c r="C3" s="211">
        <f>'TitreV Conduit Ech'!I14</f>
        <v>87.17</v>
      </c>
      <c r="D3" s="212"/>
      <c r="E3" s="213"/>
      <c r="F3" s="215">
        <f>IF(F8+G8=0,0,F8+G8)</f>
        <v>33.33</v>
      </c>
      <c r="G3" s="216"/>
      <c r="H3" s="216"/>
      <c r="I3" s="217"/>
      <c r="J3" s="211">
        <f>J8+K8</f>
        <v>12.23</v>
      </c>
      <c r="K3" s="213"/>
    </row>
    <row r="4" spans="2:11" ht="29" customHeight="1" x14ac:dyDescent="0.35">
      <c r="B4" s="204" t="s">
        <v>66</v>
      </c>
      <c r="C4" s="199" t="s">
        <v>55</v>
      </c>
      <c r="D4" s="207"/>
      <c r="E4" s="200"/>
      <c r="F4" s="199" t="s">
        <v>53</v>
      </c>
      <c r="G4" s="200"/>
      <c r="H4" s="199" t="s">
        <v>54</v>
      </c>
      <c r="I4" s="200"/>
      <c r="J4" s="199" t="s">
        <v>56</v>
      </c>
      <c r="K4" s="200"/>
    </row>
    <row r="5" spans="2:11" ht="36" customHeight="1" thickBot="1" x14ac:dyDescent="0.4">
      <c r="B5" s="206"/>
      <c r="C5" s="208" t="str">
        <f>IF(D12&gt;0.5,"« Appareil indépendant de chauffage au bois Régulé
+ Distribution d'Air Chaud Régulée (DACR) »","« Appareil indépendant 
de chauffage au bois Régulé »")</f>
        <v>« Appareil indépendant de chauffage au bois Régulé
+ Distribution d'Air Chaud Régulée (DACR) »</v>
      </c>
      <c r="D5" s="209"/>
      <c r="E5" s="210"/>
      <c r="F5" s="201" t="s">
        <v>120</v>
      </c>
      <c r="G5" s="202"/>
      <c r="H5" s="198" t="s">
        <v>121</v>
      </c>
      <c r="I5" s="203"/>
      <c r="J5" s="198" t="s">
        <v>122</v>
      </c>
      <c r="K5" s="203"/>
    </row>
    <row r="6" spans="2:11" ht="36.4" customHeight="1" x14ac:dyDescent="0.35">
      <c r="B6" s="204" t="s">
        <v>57</v>
      </c>
      <c r="C6" s="25" t="s">
        <v>49</v>
      </c>
      <c r="D6" s="25" t="s">
        <v>50</v>
      </c>
      <c r="E6" s="61" t="s">
        <v>114</v>
      </c>
      <c r="F6" s="4" t="s">
        <v>51</v>
      </c>
      <c r="G6" s="3" t="s">
        <v>52</v>
      </c>
      <c r="H6" s="25" t="s">
        <v>50</v>
      </c>
      <c r="I6" s="3" t="s">
        <v>52</v>
      </c>
      <c r="J6" s="61" t="s">
        <v>114</v>
      </c>
      <c r="K6" s="25" t="s">
        <v>62</v>
      </c>
    </row>
    <row r="7" spans="2:11" ht="16" customHeight="1" x14ac:dyDescent="0.35">
      <c r="B7" s="205"/>
      <c r="C7" s="4" t="s">
        <v>117</v>
      </c>
      <c r="D7" s="70" t="s">
        <v>116</v>
      </c>
      <c r="E7" s="4" t="s">
        <v>117</v>
      </c>
      <c r="F7" s="70" t="s">
        <v>116</v>
      </c>
      <c r="G7" s="70" t="s">
        <v>116</v>
      </c>
      <c r="H7" s="70" t="s">
        <v>116</v>
      </c>
      <c r="I7" s="70" t="s">
        <v>116</v>
      </c>
      <c r="J7" s="4" t="s">
        <v>117</v>
      </c>
      <c r="K7" s="4" t="s">
        <v>117</v>
      </c>
    </row>
    <row r="8" spans="2:11" ht="20.65" customHeight="1" thickBot="1" x14ac:dyDescent="0.4">
      <c r="B8" s="26" t="s">
        <v>64</v>
      </c>
      <c r="C8" s="17">
        <f>'TitreV Conduit Ech'!H20</f>
        <v>46.35</v>
      </c>
      <c r="D8" s="17">
        <f>'TitreV Conduit Ech'!H24</f>
        <v>33.33</v>
      </c>
      <c r="E8" s="17">
        <f>'TitreV Conduit Ech'!H28</f>
        <v>7.49</v>
      </c>
      <c r="F8" s="17">
        <f>'TitreV Conduit Ech'!H24</f>
        <v>33.33</v>
      </c>
      <c r="G8" s="17">
        <f>'TitreV Conduit Ech'!H32</f>
        <v>0</v>
      </c>
      <c r="H8" s="17">
        <f>'TitreV Conduit Ech'!H24</f>
        <v>33.33</v>
      </c>
      <c r="I8" s="17">
        <f>'TitreV Conduit Ech'!H32</f>
        <v>0</v>
      </c>
      <c r="J8" s="17">
        <f>'TitreV Conduit Ech'!H28</f>
        <v>7.49</v>
      </c>
      <c r="K8" s="17">
        <f>'TitreV Conduit Ech'!H36</f>
        <v>4.74</v>
      </c>
    </row>
    <row r="9" spans="2:11" ht="26.65" customHeight="1" x14ac:dyDescent="0.35">
      <c r="B9" s="204" t="s">
        <v>63</v>
      </c>
      <c r="C9" s="25" t="s">
        <v>58</v>
      </c>
      <c r="D9" s="25" t="s">
        <v>59</v>
      </c>
      <c r="E9" s="25" t="s">
        <v>115</v>
      </c>
      <c r="F9" s="25" t="s">
        <v>59</v>
      </c>
      <c r="G9" s="25" t="s">
        <v>60</v>
      </c>
      <c r="H9" s="25" t="s">
        <v>59</v>
      </c>
      <c r="I9" s="25" t="s">
        <v>60</v>
      </c>
      <c r="J9" s="61" t="s">
        <v>115</v>
      </c>
      <c r="K9" s="25" t="s">
        <v>61</v>
      </c>
    </row>
    <row r="10" spans="2:11" ht="18" customHeight="1" x14ac:dyDescent="0.35">
      <c r="B10" s="214"/>
      <c r="C10" s="5">
        <f>'TitreV Conduit Ech'!G20</f>
        <v>0.50429768251550433</v>
      </c>
      <c r="D10" s="5">
        <f>'TitreV Conduit Ech'!G24</f>
        <v>0.36263736263736263</v>
      </c>
      <c r="E10" s="5">
        <f>'TitreV Conduit Ech'!G28</f>
        <v>8.1492764661081504E-2</v>
      </c>
      <c r="F10" s="5">
        <f>'TitreV Conduit Ech'!G24</f>
        <v>0.36263736263736263</v>
      </c>
      <c r="G10" s="5" t="str">
        <f>IF(G8=0,"NA",'TitreV Conduit Ech'!G32)</f>
        <v>NA</v>
      </c>
      <c r="H10" s="5">
        <f>'TitreV Conduit Ech'!G24</f>
        <v>0.36263736263736263</v>
      </c>
      <c r="I10" s="5" t="str">
        <f>IF(I8=0,"NA",'TitreV Conduit Ech'!G32)</f>
        <v>NA</v>
      </c>
      <c r="J10" s="5">
        <f>'TitreV Conduit Ech'!G28</f>
        <v>8.1492764661081504E-2</v>
      </c>
      <c r="K10" s="5">
        <f>'TitreV Conduit Ech'!G36</f>
        <v>5.1572190186051574E-2</v>
      </c>
    </row>
    <row r="11" spans="2:11" ht="42.4" customHeight="1" x14ac:dyDescent="0.35">
      <c r="B11" s="197" t="s">
        <v>67</v>
      </c>
      <c r="C11" s="4">
        <v>1</v>
      </c>
      <c r="D11" s="4">
        <f>IF('TitreV Conduit Ech'!C31="NON",0.5,'TitreV Conduit Ech'!M47)</f>
        <v>0.69</v>
      </c>
      <c r="E11" s="4">
        <v>0.5</v>
      </c>
      <c r="F11" s="67" t="s">
        <v>30</v>
      </c>
      <c r="G11" s="67" t="str">
        <f>IF(G8=0,"NA","Rat_t_Ech")</f>
        <v>NA</v>
      </c>
      <c r="H11" s="6" t="str">
        <f>D11&amp;" - Rat_t_Ech"</f>
        <v>0,69 - Rat_t_Ech</v>
      </c>
      <c r="I11" s="6" t="str">
        <f>IF(I8=0,"NA","1 - Rat_t_Ech")</f>
        <v>NA</v>
      </c>
      <c r="J11" s="4">
        <v>0.5</v>
      </c>
      <c r="K11" s="4">
        <v>1</v>
      </c>
    </row>
    <row r="12" spans="2:11" ht="29.5" customHeight="1" thickBot="1" x14ac:dyDescent="0.4">
      <c r="B12" s="198"/>
      <c r="C12" s="64">
        <f>C11</f>
        <v>1</v>
      </c>
      <c r="D12" s="76">
        <f>D11</f>
        <v>0.69</v>
      </c>
      <c r="E12" s="64">
        <f>E11</f>
        <v>0.5</v>
      </c>
      <c r="F12" s="68">
        <f>IF(F8=0,"NA",IF('TitreV Conduit Ech'!C47&gt;F13,F13-0.001,'TitreV Conduit Ech'!C47))</f>
        <v>0.26087227414330216</v>
      </c>
      <c r="G12" s="65" t="str">
        <f>IF(G8=0,"NA",IF('TitreV Conduit Ech'!C47&gt;F13,F13-0.001,'TitreV Conduit Ech'!C47))</f>
        <v>NA</v>
      </c>
      <c r="H12" s="66">
        <f>IF(F8=0,"NA",IF(D12+F12&lt;1,(1-D12)-F12,0.001))</f>
        <v>4.912772585669789E-2</v>
      </c>
      <c r="I12" s="65" t="str">
        <f>IF(I8=0,"NA",1-G12)</f>
        <v>NA</v>
      </c>
      <c r="J12" s="64">
        <f>J11</f>
        <v>0.5</v>
      </c>
      <c r="K12" s="64">
        <f>K11</f>
        <v>1</v>
      </c>
    </row>
    <row r="13" spans="2:11" ht="16.5" customHeight="1" x14ac:dyDescent="0.35">
      <c r="D13" s="12" t="str">
        <f>IF(D12&gt;0.5,"DAC Régulée","")</f>
        <v>DAC Régulée</v>
      </c>
      <c r="E13" s="12"/>
      <c r="F13" s="60">
        <f>C12-D12</f>
        <v>0.31000000000000005</v>
      </c>
    </row>
    <row r="14" spans="2:11" ht="7" customHeight="1" x14ac:dyDescent="0.35">
      <c r="D14" s="12"/>
      <c r="E14" s="12"/>
    </row>
    <row r="15" spans="2:11" x14ac:dyDescent="0.35">
      <c r="B15" s="2" t="s">
        <v>68</v>
      </c>
    </row>
  </sheetData>
  <sheetProtection algorithmName="SHA-512" hashValue="lcgoAGM9+28IQWbpN4E/7kdLL4nJZ5AR2vYIj/o/o+GLN7ug1JBb1FSW7MuqNavAAX8Lg5zBGyu3QOWP7mV+8Q==" saltValue="GEwL+dVqRHD8CfADM5L+qQ==" spinCount="100000" sheet="1" selectLockedCells="1"/>
  <mergeCells count="18">
    <mergeCell ref="C2:E2"/>
    <mergeCell ref="C3:E3"/>
    <mergeCell ref="B9:B10"/>
    <mergeCell ref="J2:K2"/>
    <mergeCell ref="J4:K4"/>
    <mergeCell ref="J5:K5"/>
    <mergeCell ref="J3:K3"/>
    <mergeCell ref="F3:I3"/>
    <mergeCell ref="F2:I2"/>
    <mergeCell ref="B11:B12"/>
    <mergeCell ref="F4:G4"/>
    <mergeCell ref="F5:G5"/>
    <mergeCell ref="H4:I4"/>
    <mergeCell ref="H5:I5"/>
    <mergeCell ref="B6:B7"/>
    <mergeCell ref="B4:B5"/>
    <mergeCell ref="C4:E4"/>
    <mergeCell ref="C5:E5"/>
  </mergeCells>
  <conditionalFormatting sqref="H12">
    <cfRule type="expression" dxfId="2" priority="3">
      <formula>$H$12=0.001</formula>
    </cfRule>
  </conditionalFormatting>
  <conditionalFormatting sqref="D12 D7">
    <cfRule type="expression" dxfId="1" priority="2">
      <formula>$D$12&gt;0.5</formula>
    </cfRule>
  </conditionalFormatting>
  <conditionalFormatting sqref="D13:E13">
    <cfRule type="expression" dxfId="0" priority="1">
      <formula>$D$13&lt;&gt;""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1"/>
  <ignoredErrors>
    <ignoredError sqref="E10 E8 G10 G8 H8:H1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5"/>
  <sheetViews>
    <sheetView zoomScale="85" zoomScaleNormal="85" workbookViewId="0">
      <selection activeCell="F20" sqref="F20"/>
    </sheetView>
  </sheetViews>
  <sheetFormatPr baseColWidth="10" defaultRowHeight="14.5" x14ac:dyDescent="0.35"/>
  <cols>
    <col min="2" max="2" width="29.81640625" customWidth="1"/>
    <col min="7" max="7" width="10.90625" customWidth="1"/>
  </cols>
  <sheetData>
    <row r="3" spans="2:10" x14ac:dyDescent="0.35">
      <c r="J3" t="s">
        <v>79</v>
      </c>
    </row>
    <row r="4" spans="2:10" x14ac:dyDescent="0.35">
      <c r="B4" t="s">
        <v>95</v>
      </c>
      <c r="J4" t="s">
        <v>80</v>
      </c>
    </row>
    <row r="5" spans="2:10" x14ac:dyDescent="0.35">
      <c r="B5" t="s">
        <v>96</v>
      </c>
      <c r="J5" t="s">
        <v>81</v>
      </c>
    </row>
    <row r="6" spans="2:10" x14ac:dyDescent="0.35">
      <c r="B6" t="s">
        <v>97</v>
      </c>
      <c r="J6" t="s">
        <v>82</v>
      </c>
    </row>
    <row r="7" spans="2:10" x14ac:dyDescent="0.35">
      <c r="J7" t="s">
        <v>78</v>
      </c>
    </row>
    <row r="8" spans="2:10" x14ac:dyDescent="0.35">
      <c r="J8" t="s">
        <v>3</v>
      </c>
    </row>
    <row r="9" spans="2:10" x14ac:dyDescent="0.35">
      <c r="B9" t="s">
        <v>8</v>
      </c>
      <c r="J9" t="s">
        <v>83</v>
      </c>
    </row>
    <row r="10" spans="2:10" x14ac:dyDescent="0.35">
      <c r="B10" t="s">
        <v>9</v>
      </c>
      <c r="J10" t="s">
        <v>84</v>
      </c>
    </row>
    <row r="11" spans="2:10" x14ac:dyDescent="0.35">
      <c r="B11" t="s">
        <v>10</v>
      </c>
    </row>
    <row r="13" spans="2:10" x14ac:dyDescent="0.35">
      <c r="B13" s="29" t="s">
        <v>22</v>
      </c>
      <c r="C13" s="40">
        <v>3</v>
      </c>
      <c r="D13" s="31">
        <v>5.9</v>
      </c>
      <c r="E13" s="30">
        <v>6</v>
      </c>
      <c r="F13" s="31">
        <v>8</v>
      </c>
      <c r="G13" s="40">
        <v>8.1</v>
      </c>
      <c r="H13" s="31">
        <v>12</v>
      </c>
    </row>
    <row r="14" spans="2:10" x14ac:dyDescent="0.35">
      <c r="B14" s="32" t="s">
        <v>21</v>
      </c>
      <c r="C14" s="41" t="s">
        <v>19</v>
      </c>
      <c r="D14" s="39" t="s">
        <v>20</v>
      </c>
      <c r="E14" s="38" t="s">
        <v>19</v>
      </c>
      <c r="F14" s="39" t="s">
        <v>20</v>
      </c>
      <c r="G14" s="41" t="s">
        <v>19</v>
      </c>
      <c r="H14" s="39" t="s">
        <v>20</v>
      </c>
    </row>
    <row r="15" spans="2:10" x14ac:dyDescent="0.35">
      <c r="B15" s="29" t="s">
        <v>13</v>
      </c>
      <c r="C15" s="40">
        <v>2.363</v>
      </c>
      <c r="D15" s="31">
        <v>172.4</v>
      </c>
      <c r="E15" s="30">
        <v>2.504</v>
      </c>
      <c r="F15" s="31">
        <v>162.5</v>
      </c>
      <c r="G15" s="40">
        <v>2.617</v>
      </c>
      <c r="H15" s="31">
        <v>177.6</v>
      </c>
    </row>
    <row r="16" spans="2:10" x14ac:dyDescent="0.35">
      <c r="B16" s="32" t="s">
        <v>14</v>
      </c>
      <c r="C16" s="42">
        <v>2.1539999999999999</v>
      </c>
      <c r="D16" s="34">
        <v>114.9</v>
      </c>
      <c r="E16" s="33">
        <v>3.5049999999999999</v>
      </c>
      <c r="F16" s="34">
        <v>347.3</v>
      </c>
      <c r="G16" s="42">
        <v>3.6150000000000002</v>
      </c>
      <c r="H16" s="34">
        <v>296</v>
      </c>
    </row>
    <row r="17" spans="2:10" x14ac:dyDescent="0.35">
      <c r="B17" s="35" t="s">
        <v>15</v>
      </c>
      <c r="C17" s="43">
        <v>2.681</v>
      </c>
      <c r="D17" s="37">
        <v>181.6</v>
      </c>
      <c r="E17" s="36">
        <v>2.9239999999999999</v>
      </c>
      <c r="F17" s="37">
        <v>147.5</v>
      </c>
      <c r="G17" s="43">
        <v>2.9239999999999999</v>
      </c>
      <c r="H17" s="37">
        <v>128.69999999999999</v>
      </c>
    </row>
    <row r="20" spans="2:10" x14ac:dyDescent="0.35">
      <c r="B20" t="s">
        <v>176</v>
      </c>
    </row>
    <row r="21" spans="2:10" x14ac:dyDescent="0.35">
      <c r="B21" t="s">
        <v>25</v>
      </c>
      <c r="C21" t="str">
        <f>""</f>
        <v/>
      </c>
    </row>
    <row r="22" spans="2:10" x14ac:dyDescent="0.35">
      <c r="B22" t="s">
        <v>177</v>
      </c>
      <c r="C22" s="16">
        <v>1200</v>
      </c>
    </row>
    <row r="23" spans="2:10" x14ac:dyDescent="0.35">
      <c r="C23" s="16">
        <v>1800</v>
      </c>
    </row>
    <row r="26" spans="2:10" x14ac:dyDescent="0.35">
      <c r="B26" t="s">
        <v>38</v>
      </c>
      <c r="C26" s="163">
        <v>0.21</v>
      </c>
      <c r="D26" t="s">
        <v>32</v>
      </c>
    </row>
    <row r="27" spans="2:10" x14ac:dyDescent="0.35">
      <c r="C27" s="163">
        <v>55</v>
      </c>
      <c r="D27" t="s">
        <v>39</v>
      </c>
    </row>
    <row r="28" spans="2:10" x14ac:dyDescent="0.35">
      <c r="C28" s="163">
        <f>'TitreV Conduit Ech'!C35*C27</f>
        <v>165</v>
      </c>
      <c r="D28" t="s">
        <v>37</v>
      </c>
      <c r="I28">
        <f>C26*C28</f>
        <v>34.65</v>
      </c>
      <c r="J28" t="s">
        <v>161</v>
      </c>
    </row>
    <row r="30" spans="2:10" x14ac:dyDescent="0.35">
      <c r="B30" t="s">
        <v>107</v>
      </c>
      <c r="C30" t="s">
        <v>108</v>
      </c>
    </row>
    <row r="32" spans="2:10" ht="29" x14ac:dyDescent="0.35">
      <c r="B32" s="50" t="s">
        <v>109</v>
      </c>
      <c r="C32" s="53">
        <v>0.9</v>
      </c>
      <c r="D32" s="48">
        <v>0.7</v>
      </c>
      <c r="E32" s="48">
        <v>0.5</v>
      </c>
      <c r="F32" s="49">
        <v>0.3</v>
      </c>
    </row>
    <row r="33" spans="1:9" x14ac:dyDescent="0.35">
      <c r="A33" s="226" t="s">
        <v>106</v>
      </c>
      <c r="B33" s="51" t="s">
        <v>104</v>
      </c>
      <c r="C33" s="40">
        <v>0.76</v>
      </c>
      <c r="D33" s="30">
        <v>0.75</v>
      </c>
      <c r="E33" s="30">
        <v>0.69</v>
      </c>
      <c r="F33" s="31">
        <v>0.5</v>
      </c>
    </row>
    <row r="34" spans="1:9" x14ac:dyDescent="0.35">
      <c r="A34" s="227"/>
      <c r="B34" s="54" t="s">
        <v>105</v>
      </c>
      <c r="C34" s="55">
        <v>0.24</v>
      </c>
      <c r="D34" s="56">
        <v>0.25</v>
      </c>
      <c r="E34" s="56">
        <v>0.31</v>
      </c>
      <c r="F34" s="57">
        <v>0.5</v>
      </c>
    </row>
    <row r="35" spans="1:9" x14ac:dyDescent="0.35">
      <c r="A35" s="226" t="s">
        <v>84</v>
      </c>
      <c r="B35" s="51" t="s">
        <v>104</v>
      </c>
      <c r="C35" s="40">
        <v>0.67</v>
      </c>
      <c r="D35" s="30">
        <v>0.67</v>
      </c>
      <c r="E35" s="30">
        <v>0.59</v>
      </c>
      <c r="F35" s="31">
        <v>0.39</v>
      </c>
    </row>
    <row r="36" spans="1:9" x14ac:dyDescent="0.35">
      <c r="A36" s="227"/>
      <c r="B36" s="52" t="s">
        <v>105</v>
      </c>
      <c r="C36" s="55">
        <v>0.33</v>
      </c>
      <c r="D36" s="56">
        <v>0.33</v>
      </c>
      <c r="E36" s="56">
        <v>0.41</v>
      </c>
      <c r="F36" s="57">
        <v>0.61</v>
      </c>
    </row>
    <row r="38" spans="1:9" ht="15" thickBot="1" x14ac:dyDescent="0.4"/>
    <row r="39" spans="1:9" ht="15" customHeight="1" thickBot="1" x14ac:dyDescent="0.4">
      <c r="B39" s="73" t="s">
        <v>127</v>
      </c>
      <c r="C39" s="223" t="s">
        <v>140</v>
      </c>
      <c r="D39" s="224"/>
      <c r="E39" s="224"/>
      <c r="F39" s="225"/>
    </row>
    <row r="40" spans="1:9" ht="15" thickBot="1" x14ac:dyDescent="0.4">
      <c r="B40" s="74" t="s">
        <v>128</v>
      </c>
      <c r="C40" s="75" t="s">
        <v>136</v>
      </c>
      <c r="D40" s="75" t="s">
        <v>137</v>
      </c>
      <c r="E40" s="75" t="s">
        <v>138</v>
      </c>
      <c r="F40" s="73" t="s">
        <v>139</v>
      </c>
    </row>
    <row r="41" spans="1:9" x14ac:dyDescent="0.35">
      <c r="B41" s="164" t="s">
        <v>129</v>
      </c>
      <c r="C41" s="220">
        <v>60</v>
      </c>
      <c r="D41" s="220">
        <v>45</v>
      </c>
      <c r="E41" s="220">
        <v>30</v>
      </c>
      <c r="F41" s="220">
        <v>60</v>
      </c>
    </row>
    <row r="42" spans="1:9" x14ac:dyDescent="0.35">
      <c r="B42" s="164" t="s">
        <v>130</v>
      </c>
      <c r="C42" s="221"/>
      <c r="D42" s="221"/>
      <c r="E42" s="221"/>
      <c r="F42" s="221"/>
    </row>
    <row r="43" spans="1:9" ht="15" thickBot="1" x14ac:dyDescent="0.4">
      <c r="B43" s="165" t="s">
        <v>131</v>
      </c>
      <c r="C43" s="222"/>
      <c r="D43" s="222"/>
      <c r="E43" s="222"/>
      <c r="F43" s="222"/>
    </row>
    <row r="44" spans="1:9" x14ac:dyDescent="0.35">
      <c r="B44" s="164" t="s">
        <v>132</v>
      </c>
      <c r="C44" s="220">
        <v>60</v>
      </c>
      <c r="D44" s="220">
        <v>60</v>
      </c>
      <c r="E44" s="220">
        <v>55</v>
      </c>
      <c r="F44" s="220">
        <v>60</v>
      </c>
      <c r="H44" s="220">
        <v>55</v>
      </c>
      <c r="I44" t="s">
        <v>180</v>
      </c>
    </row>
    <row r="45" spans="1:9" ht="15" thickBot="1" x14ac:dyDescent="0.4">
      <c r="B45" s="165" t="s">
        <v>133</v>
      </c>
      <c r="C45" s="222"/>
      <c r="D45" s="222"/>
      <c r="E45" s="222"/>
      <c r="F45" s="222"/>
      <c r="H45" s="222"/>
    </row>
    <row r="46" spans="1:9" ht="15" thickBot="1" x14ac:dyDescent="0.4"/>
    <row r="47" spans="1:9" x14ac:dyDescent="0.35">
      <c r="B47" t="s">
        <v>33</v>
      </c>
      <c r="C47">
        <v>2</v>
      </c>
      <c r="D47">
        <v>3</v>
      </c>
      <c r="E47">
        <v>4</v>
      </c>
      <c r="F47">
        <v>5</v>
      </c>
      <c r="G47">
        <v>6</v>
      </c>
      <c r="H47" s="166">
        <v>7</v>
      </c>
    </row>
    <row r="48" spans="1:9" x14ac:dyDescent="0.35">
      <c r="B48" t="s">
        <v>34</v>
      </c>
      <c r="C48">
        <v>70</v>
      </c>
      <c r="D48">
        <v>95</v>
      </c>
      <c r="E48" s="59">
        <v>120</v>
      </c>
      <c r="F48">
        <v>140</v>
      </c>
      <c r="G48">
        <v>160</v>
      </c>
      <c r="H48" s="167">
        <v>180</v>
      </c>
    </row>
    <row r="49" spans="2:8" x14ac:dyDescent="0.35">
      <c r="B49" t="s">
        <v>35</v>
      </c>
      <c r="C49">
        <v>5</v>
      </c>
      <c r="D49">
        <v>10</v>
      </c>
      <c r="E49">
        <v>15</v>
      </c>
      <c r="F49">
        <v>20</v>
      </c>
      <c r="G49">
        <v>30</v>
      </c>
      <c r="H49" s="167">
        <v>30</v>
      </c>
    </row>
    <row r="50" spans="2:8" ht="15" thickBot="1" x14ac:dyDescent="0.4">
      <c r="B50" t="s">
        <v>36</v>
      </c>
      <c r="C50" s="1">
        <v>2</v>
      </c>
      <c r="D50">
        <v>2</v>
      </c>
      <c r="E50" s="1">
        <v>3</v>
      </c>
      <c r="F50">
        <v>4</v>
      </c>
      <c r="G50" s="1">
        <v>4</v>
      </c>
      <c r="H50" s="168">
        <v>3</v>
      </c>
    </row>
    <row r="51" spans="2:8" ht="15" thickBot="1" x14ac:dyDescent="0.4"/>
    <row r="52" spans="2:8" ht="15" thickBot="1" x14ac:dyDescent="0.4">
      <c r="B52" s="228" t="s">
        <v>181</v>
      </c>
      <c r="C52" s="229">
        <v>1</v>
      </c>
      <c r="D52" s="229">
        <v>2</v>
      </c>
      <c r="E52" s="229">
        <v>3</v>
      </c>
      <c r="F52" s="229">
        <v>4</v>
      </c>
    </row>
    <row r="53" spans="2:8" ht="15" thickBot="1" x14ac:dyDescent="0.4">
      <c r="B53" s="230" t="s">
        <v>182</v>
      </c>
      <c r="C53" s="231">
        <v>2</v>
      </c>
      <c r="D53" s="231">
        <v>4</v>
      </c>
      <c r="E53" s="231">
        <v>6</v>
      </c>
      <c r="F53" s="231">
        <v>8</v>
      </c>
    </row>
    <row r="54" spans="2:8" ht="15" thickBot="1" x14ac:dyDescent="0.4">
      <c r="B54" s="230" t="s">
        <v>183</v>
      </c>
      <c r="C54" s="231">
        <v>55</v>
      </c>
      <c r="D54" s="231">
        <v>110</v>
      </c>
      <c r="E54" s="231">
        <v>165</v>
      </c>
      <c r="F54" s="231">
        <v>220</v>
      </c>
    </row>
    <row r="55" spans="2:8" ht="26.5" thickBot="1" x14ac:dyDescent="0.4">
      <c r="B55" s="230" t="s">
        <v>184</v>
      </c>
      <c r="C55" s="231">
        <v>5</v>
      </c>
      <c r="D55" s="231">
        <v>15</v>
      </c>
      <c r="E55" s="231">
        <v>30</v>
      </c>
      <c r="F55" s="231">
        <v>55</v>
      </c>
    </row>
  </sheetData>
  <sheetProtection algorithmName="SHA-512" hashValue="P/rdu2Fpco0CKWbltYm+lWpkHsKel0pRHULO1CMFx8bUSpcHd1CeitCyDUyUkudwMgRFgFoG0BbjyjOLVTU9DQ==" saltValue="vG6838TMScho7c5IXCGATw==" spinCount="100000" sheet="1" selectLockedCells="1"/>
  <mergeCells count="12">
    <mergeCell ref="H44:H45"/>
    <mergeCell ref="A33:A34"/>
    <mergeCell ref="A35:A36"/>
    <mergeCell ref="C41:C43"/>
    <mergeCell ref="D41:D43"/>
    <mergeCell ref="E41:E43"/>
    <mergeCell ref="F41:F43"/>
    <mergeCell ref="F44:F45"/>
    <mergeCell ref="C39:F39"/>
    <mergeCell ref="C44:C45"/>
    <mergeCell ref="D44:D45"/>
    <mergeCell ref="E44:E4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TitreV Conduit Ech</vt:lpstr>
      <vt:lpstr>Synthèse Ratios</vt:lpstr>
      <vt:lpstr>Paramètres</vt:lpstr>
      <vt:lpstr>'TitreV Conduit Ech'!_Hlk494891016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PEIGNE Pierre</dc:creator>
  <cp:lastModifiedBy>PEIGNE Pierre</cp:lastModifiedBy>
  <cp:lastPrinted>2020-12-14T11:38:53Z</cp:lastPrinted>
  <dcterms:created xsi:type="dcterms:W3CDTF">2017-10-02T10:02:40Z</dcterms:created>
  <dcterms:modified xsi:type="dcterms:W3CDTF">2021-01-26T14:29:49Z</dcterms:modified>
</cp:coreProperties>
</file>